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006 要綱・要領\R05\17　20240327_福島県総合評価方式実施要領の運用について\04 HP\"/>
    </mc:Choice>
  </mc:AlternateContent>
  <workbookProtection workbookPassword="B050" lockStructure="1"/>
  <bookViews>
    <workbookView xWindow="0" yWindow="0" windowWidth="28800" windowHeight="12336" tabRatio="729" activeTab="1"/>
  </bookViews>
  <sheets>
    <sheet name="1.基本データ(このシートは削除しないこと！)" sheetId="5" r:id="rId1"/>
    <sheet name="2.様式第1号、第6～8号(標準型)" sheetId="2" r:id="rId2"/>
    <sheet name="リスト" sheetId="8" r:id="rId3"/>
    <sheet name="リスト2" sheetId="9" r:id="rId4"/>
  </sheets>
  <externalReferences>
    <externalReference r:id="rId5"/>
  </externalReferences>
  <definedNames>
    <definedName name="_xlnm.Print_Area" localSheetId="0">'1.基本データ(このシートは削除しないこと！)'!$B$1:$F$52</definedName>
    <definedName name="_xlnm.Print_Area" localSheetId="1">'2.様式第1号、第6～8号(標準型)'!$A$1:$S$121</definedName>
  </definedNames>
  <calcPr calcId="162913"/>
</workbook>
</file>

<file path=xl/calcChain.xml><?xml version="1.0" encoding="utf-8"?>
<calcChain xmlns="http://schemas.openxmlformats.org/spreadsheetml/2006/main">
  <c r="V93" i="2" l="1"/>
  <c r="V90" i="2"/>
  <c r="C20" i="2" l="1"/>
  <c r="AU121" i="2" l="1"/>
  <c r="AT114" i="2"/>
  <c r="AT112" i="2" s="1"/>
  <c r="AS112" i="2"/>
  <c r="AR112" i="2"/>
  <c r="H16" i="5"/>
  <c r="X99" i="2" l="1"/>
  <c r="AU114" i="2"/>
  <c r="AH119" i="2"/>
  <c r="V99" i="2"/>
  <c r="AG119" i="2"/>
  <c r="AI119" i="2"/>
  <c r="W96" i="2"/>
  <c r="E98" i="2"/>
  <c r="AF118" i="2"/>
  <c r="AE118" i="2"/>
  <c r="AD118" i="2"/>
  <c r="AC118" i="2"/>
  <c r="AB118" i="2"/>
  <c r="AA118" i="2"/>
  <c r="Z118" i="2"/>
  <c r="Y118" i="2"/>
  <c r="X118" i="2"/>
  <c r="AF116" i="2"/>
  <c r="AE116" i="2"/>
  <c r="AD116" i="2"/>
  <c r="AC117" i="2"/>
  <c r="AC116" i="2"/>
  <c r="AB116" i="2"/>
  <c r="AA116" i="2"/>
  <c r="Z116" i="2"/>
  <c r="Y116" i="2"/>
  <c r="X116" i="2"/>
  <c r="AN120" i="2"/>
  <c r="AF114" i="2"/>
  <c r="AD114" i="2"/>
  <c r="AA114" i="2"/>
  <c r="Y114" i="2"/>
  <c r="Z114" i="2"/>
  <c r="AB114" i="2"/>
  <c r="AC114" i="2"/>
  <c r="AE114" i="2"/>
  <c r="X114" i="2"/>
  <c r="AF113" i="2"/>
  <c r="AE113" i="2"/>
  <c r="AD113" i="2"/>
  <c r="AC113" i="2"/>
  <c r="AB113" i="2"/>
  <c r="AA113" i="2"/>
  <c r="Z113" i="2"/>
  <c r="Y113" i="2"/>
  <c r="X113" i="2"/>
  <c r="Y117" i="2"/>
  <c r="AT119" i="2"/>
  <c r="AO120" i="2"/>
  <c r="AP120" i="2"/>
  <c r="AM120" i="2"/>
  <c r="AL120" i="2"/>
  <c r="AK120" i="2"/>
  <c r="AF120" i="2"/>
  <c r="AE120" i="2"/>
  <c r="AD120" i="2"/>
  <c r="AC120" i="2"/>
  <c r="AB120" i="2"/>
  <c r="AA120" i="2"/>
  <c r="Z120" i="2"/>
  <c r="Y120" i="2"/>
  <c r="X120" i="2"/>
  <c r="X121" i="2"/>
  <c r="V120" i="2"/>
  <c r="AK66" i="2"/>
  <c r="AK65" i="2"/>
  <c r="V66" i="2"/>
  <c r="E66" i="2"/>
  <c r="S1" i="2"/>
  <c r="L17" i="2"/>
  <c r="L16" i="2"/>
  <c r="L13" i="2"/>
  <c r="L11" i="2"/>
  <c r="L14" i="2"/>
  <c r="L10" i="2"/>
  <c r="K11" i="2"/>
  <c r="V77" i="2" l="1"/>
  <c r="S48" i="2" l="1"/>
  <c r="V58" i="2" l="1"/>
  <c r="X69" i="2"/>
  <c r="X68" i="2"/>
  <c r="AK56" i="2" l="1"/>
  <c r="AE56" i="2"/>
  <c r="AG56" i="2" s="1"/>
  <c r="AK55" i="2"/>
  <c r="AT121" i="2" l="1"/>
  <c r="W97" i="2" l="1"/>
  <c r="AB97" i="2" s="1"/>
  <c r="W98" i="2"/>
  <c r="AB98" i="2" s="1"/>
  <c r="W79" i="2"/>
  <c r="V68" i="2"/>
  <c r="W59" i="2"/>
  <c r="V60" i="2"/>
  <c r="V59" i="2"/>
  <c r="E59" i="2"/>
  <c r="AC97" i="2" l="1"/>
  <c r="X97" i="2"/>
  <c r="Y97" i="2" s="1"/>
  <c r="AC98" i="2"/>
  <c r="X98" i="2"/>
  <c r="Y98" i="2" s="1"/>
  <c r="AP98" i="2" l="1"/>
  <c r="F98" i="2" s="1"/>
  <c r="X104" i="2"/>
  <c r="X103" i="2"/>
  <c r="E100" i="2" l="1"/>
  <c r="V62" i="2" l="1"/>
  <c r="AF104" i="2" l="1"/>
  <c r="AB107" i="2"/>
  <c r="AB106" i="2"/>
  <c r="AB105" i="2"/>
  <c r="AB104" i="2"/>
  <c r="AA107" i="2"/>
  <c r="AA106" i="2"/>
  <c r="AA105" i="2"/>
  <c r="AA104" i="2"/>
  <c r="W101" i="2"/>
  <c r="AM55" i="2" l="1"/>
  <c r="AM56" i="2"/>
  <c r="H11" i="5"/>
  <c r="E51" i="2" s="1"/>
  <c r="E88" i="2" s="1"/>
  <c r="H10" i="5"/>
  <c r="H9" i="5"/>
  <c r="H8" i="5"/>
  <c r="H7" i="5"/>
  <c r="H6" i="5"/>
  <c r="H5" i="5"/>
  <c r="AF119" i="2" l="1"/>
  <c r="AF121" i="2" s="1"/>
  <c r="AF117" i="2"/>
  <c r="AF115" i="2"/>
  <c r="AF112" i="2"/>
  <c r="AF111" i="2"/>
  <c r="AF110" i="2"/>
  <c r="E56" i="2" l="1"/>
  <c r="W72" i="2" l="1"/>
  <c r="V57" i="2" l="1"/>
  <c r="V56" i="2"/>
  <c r="V55" i="2"/>
  <c r="V54" i="2"/>
  <c r="V53" i="2"/>
  <c r="S86" i="2" l="1"/>
  <c r="V94" i="2" l="1"/>
  <c r="V92" i="2"/>
  <c r="V91" i="2"/>
  <c r="AP90" i="2"/>
  <c r="V80" i="2"/>
  <c r="V79" i="2"/>
  <c r="V78" i="2"/>
  <c r="V76" i="2"/>
  <c r="V75" i="2"/>
  <c r="V73" i="2"/>
  <c r="V72" i="2"/>
  <c r="Y70" i="2"/>
  <c r="X70" i="2"/>
  <c r="W69" i="2"/>
  <c r="W68" i="2"/>
  <c r="V61" i="2"/>
  <c r="AP61" i="2" s="1"/>
  <c r="F61" i="2" s="1"/>
  <c r="V74" i="2"/>
  <c r="Y72" i="2" l="1"/>
  <c r="Z68" i="2"/>
  <c r="W56" i="2"/>
  <c r="Y56" i="2" s="1"/>
  <c r="AE72" i="2" l="1"/>
  <c r="AP56" i="2"/>
  <c r="F56" i="2" s="1"/>
  <c r="E91" i="2" l="1"/>
  <c r="E92" i="2"/>
  <c r="E94" i="2"/>
  <c r="E95" i="2"/>
  <c r="E96" i="2"/>
  <c r="E97" i="2"/>
  <c r="E90" i="2"/>
  <c r="V114" i="2" l="1"/>
  <c r="V113" i="2"/>
  <c r="E64" i="2" l="1"/>
  <c r="E65" i="2"/>
  <c r="E63" i="2"/>
  <c r="V65" i="2" l="1"/>
  <c r="AP65" i="2" s="1"/>
  <c r="F65" i="2" s="1"/>
  <c r="AF107" i="2" l="1"/>
  <c r="AF106" i="2"/>
  <c r="AF105" i="2"/>
  <c r="Z104" i="2"/>
  <c r="AC104" i="2" s="1"/>
  <c r="X111" i="2" l="1"/>
  <c r="X112" i="2"/>
  <c r="X115" i="2"/>
  <c r="X117" i="2"/>
  <c r="X119" i="2"/>
  <c r="X110" i="2"/>
  <c r="Y110" i="2"/>
  <c r="AE104" i="2" l="1"/>
  <c r="AG104" i="2" s="1"/>
  <c r="E79" i="2" l="1"/>
  <c r="W76" i="2"/>
  <c r="Y76" i="2" s="1"/>
  <c r="AE76" i="2" s="1"/>
  <c r="Y59" i="2"/>
  <c r="W53" i="2"/>
  <c r="Y53" i="2" s="1"/>
  <c r="AP76" i="2" l="1"/>
  <c r="AE59" i="2"/>
  <c r="AP59" i="2"/>
  <c r="F59" i="2" s="1"/>
  <c r="AP53" i="2"/>
  <c r="F53" i="2" s="1"/>
  <c r="AE53" i="2"/>
  <c r="Y79" i="2"/>
  <c r="X105" i="2"/>
  <c r="AE79" i="2" l="1"/>
  <c r="AP79" i="2" s="1"/>
  <c r="E21" i="5"/>
  <c r="E20" i="5"/>
  <c r="D21" i="5"/>
  <c r="D20" i="5"/>
  <c r="H17" i="5" l="1"/>
  <c r="AP112" i="2" l="1"/>
  <c r="AP111" i="2"/>
  <c r="AP121" i="2"/>
  <c r="AP114" i="2"/>
  <c r="AP113" i="2"/>
  <c r="AP115" i="2"/>
  <c r="AP116" i="2"/>
  <c r="AP117" i="2"/>
  <c r="AP110" i="2"/>
  <c r="AP119" i="2"/>
  <c r="AP118" i="2"/>
  <c r="AM114" i="2"/>
  <c r="AM113" i="2"/>
  <c r="V96" i="2"/>
  <c r="AP96" i="2" s="1"/>
  <c r="F96" i="2" s="1"/>
  <c r="AP93" i="2"/>
  <c r="F93" i="2" s="1"/>
  <c r="E93" i="2"/>
  <c r="V95" i="2"/>
  <c r="AP95" i="2" s="1"/>
  <c r="F95" i="2" s="1"/>
  <c r="AP94" i="2"/>
  <c r="F94" i="2" s="1"/>
  <c r="AP92" i="2"/>
  <c r="F92" i="2" s="1"/>
  <c r="AP91" i="2"/>
  <c r="F91" i="2" s="1"/>
  <c r="F90" i="2"/>
  <c r="AE64" i="2" l="1"/>
  <c r="AF64" i="2" s="1"/>
  <c r="AE66" i="2"/>
  <c r="W99" i="2"/>
  <c r="AE100" i="2" s="1"/>
  <c r="AE101" i="2"/>
  <c r="AF101" i="2" s="1"/>
  <c r="AL114" i="2"/>
  <c r="AL113" i="2"/>
  <c r="AM66" i="2" l="1"/>
  <c r="AM65" i="2"/>
  <c r="AP66" i="2" s="1"/>
  <c r="F66" i="2" s="1"/>
  <c r="AO113" i="2"/>
  <c r="AN113" i="2"/>
  <c r="AO114" i="2"/>
  <c r="AN114" i="2"/>
  <c r="AE99" i="2"/>
  <c r="AF99" i="2" s="1"/>
  <c r="Y99" i="2"/>
  <c r="AP99" i="2" l="1"/>
  <c r="F99" i="2" s="1"/>
  <c r="E68" i="2"/>
  <c r="AP62" i="2"/>
  <c r="E62" i="2"/>
  <c r="E61" i="2"/>
  <c r="F62" i="2" l="1"/>
  <c r="V97" i="2" l="1"/>
  <c r="AP97" i="2" s="1"/>
  <c r="F97" i="2" s="1"/>
  <c r="V64" i="2"/>
  <c r="V63" i="2"/>
  <c r="AP63" i="2" s="1"/>
  <c r="F63" i="2" s="1"/>
  <c r="AP64" i="2" l="1"/>
  <c r="F64" i="2" s="1"/>
  <c r="E53" i="2"/>
  <c r="E72" i="2"/>
  <c r="E76" i="2"/>
  <c r="E99" i="2"/>
  <c r="E111" i="2"/>
  <c r="E110" i="2"/>
  <c r="E115" i="2"/>
  <c r="E117" i="2"/>
  <c r="V121" i="2" l="1"/>
  <c r="V119" i="2"/>
  <c r="AB115" i="2" l="1"/>
  <c r="AE115" i="2" s="1"/>
  <c r="AB117" i="2"/>
  <c r="AE117" i="2" s="1"/>
  <c r="AB119" i="2"/>
  <c r="AB112" i="2"/>
  <c r="AE112" i="2" s="1"/>
  <c r="AB111" i="2"/>
  <c r="AE111" i="2" s="1"/>
  <c r="AB110" i="2"/>
  <c r="AE110" i="2" s="1"/>
  <c r="Z115" i="2"/>
  <c r="Z117" i="2"/>
  <c r="Z119" i="2"/>
  <c r="Z112" i="2"/>
  <c r="Z111" i="2"/>
  <c r="Z110" i="2"/>
  <c r="Y119" i="2"/>
  <c r="Y115" i="2"/>
  <c r="Y112" i="2"/>
  <c r="Y111" i="2"/>
  <c r="V118" i="2"/>
  <c r="V117" i="2"/>
  <c r="V116" i="2"/>
  <c r="V115" i="2"/>
  <c r="V112" i="2"/>
  <c r="W112" i="2" s="1"/>
  <c r="V111" i="2"/>
  <c r="V110" i="2"/>
  <c r="W115" i="2" l="1"/>
  <c r="W117" i="2" s="1"/>
  <c r="Z121" i="2"/>
  <c r="AE119" i="2"/>
  <c r="AB121" i="2"/>
  <c r="Y121" i="2"/>
  <c r="AE121" i="2" l="1"/>
  <c r="W119" i="2"/>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AA111" i="2" l="1"/>
  <c r="AA112" i="2"/>
  <c r="AA119" i="2"/>
  <c r="AA110" i="2"/>
  <c r="AA117" i="2"/>
  <c r="AA115" i="2"/>
  <c r="E87" i="2"/>
  <c r="E50" i="2"/>
  <c r="AC111" i="2"/>
  <c r="AC112" i="2"/>
  <c r="AC119" i="2"/>
  <c r="AC110" i="2"/>
  <c r="AC115" i="2"/>
  <c r="AG106" i="2"/>
  <c r="AG107" i="2"/>
  <c r="AD115" i="2" l="1"/>
  <c r="AM115" i="2" s="1"/>
  <c r="AA121" i="2"/>
  <c r="AC121" i="2"/>
  <c r="AD112" i="2"/>
  <c r="AM112" i="2" s="1"/>
  <c r="AD110" i="2"/>
  <c r="AC103" i="2"/>
  <c r="AD117" i="2"/>
  <c r="AD111" i="2"/>
  <c r="AM111" i="2" s="1"/>
  <c r="AD119" i="2"/>
  <c r="AM119" i="2" s="1"/>
  <c r="AG105" i="2"/>
  <c r="AG103" i="2" s="1"/>
  <c r="X106" i="2" l="1"/>
  <c r="W106" i="2"/>
  <c r="AP107" i="2"/>
  <c r="AP105" i="2"/>
  <c r="AP106" i="2"/>
  <c r="AH103" i="2"/>
  <c r="X107" i="2" s="1"/>
  <c r="W103" i="2"/>
  <c r="AO112" i="2"/>
  <c r="AK115" i="2"/>
  <c r="AO107" i="2"/>
  <c r="AO106" i="2"/>
  <c r="AO105" i="2"/>
  <c r="AO101" i="2"/>
  <c r="AK110" i="2"/>
  <c r="AL110" i="2"/>
  <c r="AM110" i="2"/>
  <c r="AO110" i="2" s="1"/>
  <c r="AQ110" i="2" s="1"/>
  <c r="AM118" i="2"/>
  <c r="AL118" i="2"/>
  <c r="AK118" i="2"/>
  <c r="AM116" i="2"/>
  <c r="AK116" i="2"/>
  <c r="AN116" i="2" s="1"/>
  <c r="AL116" i="2"/>
  <c r="AM117" i="2"/>
  <c r="AL117" i="2"/>
  <c r="AK117" i="2"/>
  <c r="AL115" i="2"/>
  <c r="AD121" i="2"/>
  <c r="AM121" i="2" s="1"/>
  <c r="AK119" i="2"/>
  <c r="AL119" i="2"/>
  <c r="AL112" i="2"/>
  <c r="AN112" i="2" s="1"/>
  <c r="AK111" i="2"/>
  <c r="AL111" i="2"/>
  <c r="AQ112" i="2" l="1"/>
  <c r="AN110" i="2"/>
  <c r="AO119" i="2"/>
  <c r="AN119" i="2"/>
  <c r="AQ119" i="2" s="1"/>
  <c r="AN118" i="2"/>
  <c r="AN111" i="2"/>
  <c r="AN117" i="2"/>
  <c r="AN115" i="2"/>
  <c r="AO115" i="2"/>
  <c r="W107" i="2"/>
  <c r="AO118" i="2"/>
  <c r="AO117" i="2"/>
  <c r="AO116" i="2"/>
  <c r="AQ107" i="2"/>
  <c r="AO111" i="2"/>
  <c r="AQ111" i="2" s="1"/>
  <c r="F111" i="2" s="1"/>
  <c r="AT100" i="2"/>
  <c r="AT103" i="2"/>
  <c r="AT102" i="2"/>
  <c r="AT101" i="2"/>
  <c r="AS102" i="2"/>
  <c r="AS101" i="2"/>
  <c r="AS100" i="2"/>
  <c r="AS103" i="2"/>
  <c r="AK121" i="2"/>
  <c r="AL121" i="2"/>
  <c r="K106" i="2"/>
  <c r="AS119" i="2" l="1"/>
  <c r="AR119" i="2"/>
  <c r="AN121" i="2"/>
  <c r="AQ115" i="2"/>
  <c r="AQ117" i="2"/>
  <c r="AO121" i="2"/>
  <c r="AT104" i="2"/>
  <c r="AS104" i="2"/>
  <c r="AS109" i="2" s="1"/>
  <c r="K107" i="2"/>
  <c r="F112" i="2" l="1"/>
  <c r="F119" i="2"/>
  <c r="F110" i="2"/>
  <c r="F100" i="2"/>
  <c r="AT105" i="2"/>
  <c r="B108" i="2" l="1"/>
  <c r="AT106" i="2"/>
  <c r="F117" i="2" l="1"/>
  <c r="F115" i="2"/>
  <c r="V48" i="2" l="1"/>
  <c r="D23" i="5" s="1"/>
</calcChain>
</file>

<file path=xl/sharedStrings.xml><?xml version="1.0" encoding="utf-8"?>
<sst xmlns="http://schemas.openxmlformats.org/spreadsheetml/2006/main" count="805" uniqueCount="454">
  <si>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</si>
  <si>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</si>
  <si>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</si>
  <si>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</si>
  <si>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</si>
  <si>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</si>
  <si>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</si>
  <si>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</si>
  <si>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</si>
  <si>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</si>
  <si>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</si>
  <si>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</si>
  <si>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</si>
  <si>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</si>
  <si>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</si>
  <si>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</si>
  <si>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</si>
  <si>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</si>
  <si>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</si>
  <si>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</si>
  <si>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</si>
  <si>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</si>
  <si>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</si>
  <si>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</si>
  <si>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</si>
  <si>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</si>
  <si>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</si>
  <si>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</si>
  <si>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</si>
  <si>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</si>
  <si>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</si>
  <si>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</si>
  <si>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</si>
  <si>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</si>
  <si>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</si>
  <si>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</si>
  <si>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</si>
  <si>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</si>
  <si>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</si>
  <si>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</si>
  <si>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</si>
  <si>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</si>
  <si>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</si>
  <si>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</si>
  <si>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</si>
  <si>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</si>
  <si>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</si>
  <si>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</si>
  <si>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</si>
  <si>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</si>
  <si>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</si>
  <si>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</si>
  <si>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</si>
  <si>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</si>
  <si>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</si>
  <si>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</si>
  <si>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</si>
  <si>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</si>
  <si>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</si>
  <si>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</si>
  <si>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</si>
  <si>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</si>
  <si>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</si>
  <si>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</si>
  <si>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</si>
  <si>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</si>
  <si>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</si>
  <si>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</si>
  <si>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</si>
  <si>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</si>
  <si>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</si>
  <si>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</si>
  <si>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</si>
  <si>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</si>
  <si>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</si>
  <si>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</si>
  <si>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</si>
  <si>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</si>
  <si>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</si>
  <si>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</si>
  <si>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</si>
  <si>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</si>
  <si>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</si>
  <si>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</si>
  <si>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</si>
  <si>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</si>
  <si>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</si>
  <si>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</si>
  <si>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</si>
  <si>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</si>
  <si>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</si>
  <si>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</si>
  <si>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</si>
  <si>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</si>
  <si>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</si>
  <si>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</si>
  <si>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</si>
  <si>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</si>
  <si>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</si>
  <si>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</si>
  <si>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</si>
  <si>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</si>
  <si>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</si>
  <si>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</si>
  <si>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</si>
  <si>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</si>
  <si>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</si>
  <si>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</si>
  <si>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</si>
  <si>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</si>
  <si>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</si>
  <si>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</si>
  <si>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</si>
  <si>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</si>
  <si>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</si>
  <si>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</si>
  <si>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</si>
  <si>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</si>
  <si>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</si>
  <si>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</si>
  <si>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</si>
  <si>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</si>
  <si>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</si>
  <si>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</si>
  <si>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</si>
  <si>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</si>
  <si>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</si>
  <si>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</si>
  <si>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</si>
  <si>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</si>
  <si>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</si>
  <si>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</si>
  <si>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</si>
  <si>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</si>
  <si>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80点以上</t>
    <rPh sb="2" eb="3">
      <t>テン</t>
    </rPh>
    <rPh sb="3" eb="5">
      <t>イジョウ</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</si>
  <si>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</si>
  <si>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</si>
  <si>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</si>
  <si>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</si>
  <si>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</si>
  <si>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</si>
  <si>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</si>
  <si>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</si>
  <si>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</si>
  <si>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</si>
  <si>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</si>
  <si>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</si>
  <si>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</si>
  <si>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</si>
  <si>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</si>
  <si>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</si>
  <si>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</si>
  <si>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</si>
  <si>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</si>
  <si>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</si>
  <si>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</si>
  <si>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</si>
  <si>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</si>
  <si>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</si>
  <si>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</si>
  <si>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</si>
  <si>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</si>
  <si>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</si>
  <si>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</si>
  <si>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</si>
  <si>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</si>
  <si>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</si>
  <si>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</si>
  <si>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</si>
  <si>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</si>
  <si>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</si>
  <si>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</si>
  <si>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</si>
  <si>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</si>
  <si>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</si>
  <si>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</si>
  <si>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</si>
  <si>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</si>
  <si>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</si>
  <si>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</si>
  <si>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</si>
  <si>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</si>
  <si>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</si>
  <si>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</si>
  <si>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</si>
  <si>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</si>
  <si>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</si>
  <si>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</si>
  <si>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</si>
  <si>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</si>
  <si>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</si>
  <si>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</si>
  <si>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</si>
  <si>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</si>
  <si>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</si>
  <si>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</si>
  <si>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</si>
  <si>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</si>
  <si>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</si>
  <si>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</si>
  <si>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</si>
  <si>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</si>
  <si>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</si>
  <si>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</si>
  <si>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</si>
  <si>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</si>
  <si>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</si>
  <si>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</si>
  <si>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</si>
  <si>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</si>
  <si>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</si>
  <si>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</si>
  <si>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</si>
  <si>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</si>
  <si>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</si>
  <si>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</si>
  <si>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</si>
  <si>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</si>
  <si>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</si>
  <si>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</si>
  <si>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</si>
  <si>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</si>
  <si>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</si>
  <si>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</si>
  <si>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</si>
  <si>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</si>
  <si>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</si>
  <si>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</si>
  <si>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</si>
  <si>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</si>
  <si>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</si>
  <si>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</si>
  <si>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</si>
  <si>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</si>
  <si>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</si>
  <si>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</si>
  <si>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</si>
  <si>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</si>
  <si>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</si>
  <si>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</si>
  <si>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</si>
  <si>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</si>
  <si>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</si>
  <si>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</si>
  <si>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</si>
  <si>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</si>
  <si>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</si>
  <si>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</si>
  <si>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</si>
  <si>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</si>
  <si>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</si>
  <si>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</si>
  <si>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</si>
  <si>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</si>
  <si>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</si>
  <si>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</si>
  <si>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</si>
  <si>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</si>
  <si>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</si>
  <si>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</si>
  <si>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</si>
  <si>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</si>
  <si>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</si>
  <si>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</si>
  <si>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</si>
  <si>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</si>
  <si>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</si>
  <si>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</si>
  <si>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</si>
  <si>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</si>
  <si>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</si>
  <si>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</si>
  <si>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</si>
  <si>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</si>
  <si>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</si>
  <si>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</si>
  <si>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</si>
  <si>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</si>
  <si>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</si>
  <si>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</si>
  <si>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</si>
  <si>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</si>
  <si>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</si>
  <si>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</si>
  <si>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</si>
  <si>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</si>
  <si>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</si>
  <si>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</si>
  <si>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</si>
  <si>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</si>
  <si>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</si>
  <si>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</si>
  <si>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</si>
  <si>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</si>
  <si>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</si>
  <si>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</si>
  <si>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</si>
  <si>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</si>
  <si>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</si>
  <si>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</si>
  <si>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</si>
  <si>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</si>
  <si>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</si>
  <si>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</si>
  <si>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</si>
  <si>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</si>
  <si>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</si>
  <si>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</si>
  <si>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</si>
  <si>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</si>
  <si>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</si>
  <si>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</si>
  <si>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</si>
  <si>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</si>
  <si>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</si>
  <si>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</si>
  <si>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</si>
  <si>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</si>
  <si>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</si>
  <si>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</si>
  <si>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</si>
  <si>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</si>
  <si>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</si>
  <si>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</si>
  <si>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</si>
  <si>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</si>
  <si>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</si>
  <si>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</si>
  <si>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</si>
  <si>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</si>
  <si>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</si>
  <si>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</si>
  <si>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</si>
  <si>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</si>
  <si>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</si>
  <si>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</si>
  <si>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</si>
  <si>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</si>
  <si>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</si>
  <si>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</si>
  <si>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</si>
  <si>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</si>
  <si>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</si>
  <si>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</si>
  <si>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</si>
  <si>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</si>
  <si>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</si>
  <si>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</si>
  <si>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</si>
  <si>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</si>
  <si>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</si>
  <si>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</si>
  <si>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</si>
  <si>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</si>
  <si>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</si>
  <si>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</si>
  <si>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</si>
  <si>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</si>
  <si>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</si>
  <si>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</si>
  <si>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</si>
  <si>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</si>
  <si>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</si>
  <si>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</si>
  <si>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</si>
  <si>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</si>
  <si>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</si>
  <si>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</si>
  <si>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</si>
  <si>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</si>
  <si>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</si>
  <si>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</si>
  <si>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</si>
  <si>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</si>
  <si>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</si>
  <si>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</si>
  <si>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</si>
  <si>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</si>
  <si>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</si>
  <si>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</si>
  <si>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</si>
  <si>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</si>
  <si>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</si>
  <si>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</si>
  <si>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</si>
  <si>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</si>
  <si>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</si>
  <si>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</si>
  <si>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</si>
  <si>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</si>
  <si>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</si>
  <si>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</si>
  <si>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</si>
  <si>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</si>
  <si>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</si>
  <si>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</si>
  <si>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</si>
  <si>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</si>
  <si>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</si>
  <si>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４：OK</t>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</si>
  <si>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</si>
  <si>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</si>
  <si>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</si>
  <si>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</si>
  <si>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</si>
  <si>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</si>
  <si>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</si>
  <si>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</si>
  <si>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</si>
  <si>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</si>
  <si>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</si>
  <si>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</si>
  <si>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</si>
  <si>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</si>
  <si>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（標準型）</t>
    <rPh sb="1" eb="3">
      <t>ヒョウジュン</t>
    </rPh>
    <rPh sb="3" eb="4">
      <t>ガタ</t>
    </rPh>
    <phoneticPr fontId="36"/>
  </si>
  <si>
    <t>提出は、様式第１号及び様式第６～９号をPDF形式で提出又はexcel様式をそのまま提出。このシートは提出不要。</t>
    <phoneticPr fontId="36"/>
  </si>
  <si>
    <t>□　簡易型</t>
    <phoneticPr fontId="36"/>
  </si>
  <si>
    <t>■　標準型</t>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</si>
  <si>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</si>
  <si>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</si>
  <si>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</si>
  <si>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t>□　特別簡易型・復旧型・復興型</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</si>
  <si>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</si>
  <si>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</si>
  <si>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</si>
  <si>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</si>
  <si>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※記名がない場合、配置技術者の全ての項目を評価しない。</t>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</si>
  <si>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</si>
  <si>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氏　名</t>
    <phoneticPr fontId="36"/>
  </si>
  <si>
    <t>保有年数</t>
    <rPh sb="0" eb="2">
      <t>ホユウ</t>
    </rPh>
    <rPh sb="2" eb="4">
      <t>ネンスウ</t>
    </rPh>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</si>
  <si>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</si>
  <si>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</si>
  <si>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有（上位コース）</t>
    <rPh sb="0" eb="1">
      <t>ア</t>
    </rPh>
    <rPh sb="2" eb="4">
      <t>ジョウイ</t>
    </rPh>
    <phoneticPr fontId="36"/>
  </si>
  <si>
    <t>有（基礎コース）</t>
    <rPh sb="0" eb="1">
      <t>ア</t>
    </rPh>
    <rPh sb="2" eb="4">
      <t>キソ</t>
    </rPh>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</si>
  <si>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</si>
  <si>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t>活用の有無</t>
    <rPh sb="0" eb="2">
      <t>カツヨウ</t>
    </rPh>
    <rPh sb="3" eb="5">
      <t>ウム</t>
    </rPh>
    <phoneticPr fontId="36"/>
  </si>
  <si>
    <t>認定の有無</t>
    <rPh sb="0" eb="2">
      <t>ニンテイ</t>
    </rPh>
    <rPh sb="3" eb="5">
      <t>ウム</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</si>
  <si>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</si>
  <si>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t>「県管理施設」又は「国、市町村管理施設」を選択する↓
（G121セル）</t>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</si>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</sst>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0"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
      <sz val="12"/>
      <color theme="1"/>
      <name val="ＭＳ ゴシック"/>
      <family val="3"/>
      <charset val="128"/>
    </font>
    <font>
      <sz val="10"/>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09">
    <xf numFmtId="0" fontId="2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30" fillId="0" borderId="10" xfId="0" applyFont="1" applyFill="1" applyBorder="1" applyAlignment="1" applyProtection="1">
      <alignment vertical="center" wrapText="1"/>
    </xf>
    <xf numFmtId="0" fontId="51" fillId="0" borderId="10" xfId="0" applyFont="1" applyFill="1" applyBorder="1" applyAlignment="1" applyProtection="1">
      <alignment horizontal="center" vertical="center" wrapText="1"/>
    </xf>
    <xf numFmtId="0" fontId="30" fillId="0" borderId="18"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xf>
    <xf numFmtId="0" fontId="30" fillId="0" borderId="10" xfId="0" applyFont="1" applyFill="1" applyBorder="1" applyAlignment="1" applyProtection="1">
      <alignment vertical="center"/>
    </xf>
    <xf numFmtId="0" fontId="54" fillId="0" borderId="21" xfId="0" applyFont="1" applyFill="1" applyBorder="1" applyAlignment="1" applyProtection="1">
      <alignment horizontal="left" vertical="center" wrapText="1"/>
    </xf>
    <xf numFmtId="0" fontId="0" fillId="0" borderId="0" xfId="0" applyFont="1" applyBorder="1" applyProtection="1">
      <alignment vertical="center"/>
    </xf>
    <xf numFmtId="0" fontId="28" fillId="0" borderId="0" xfId="0" applyFont="1" applyBorder="1" applyAlignment="1" applyProtection="1">
      <alignment horizontal="right" vertical="top"/>
    </xf>
    <xf numFmtId="0" fontId="33" fillId="0" borderId="0" xfId="0" applyFont="1" applyBorder="1" applyAlignment="1" applyProtection="1">
      <alignment horizontal="left" vertical="top" wrapText="1"/>
    </xf>
    <xf numFmtId="178" fontId="31" fillId="0" borderId="27" xfId="0" applyNumberFormat="1" applyFont="1" applyBorder="1" applyAlignment="1" applyProtection="1">
      <alignment vertical="center"/>
    </xf>
    <xf numFmtId="0" fontId="20" fillId="0" borderId="0" xfId="0" applyFont="1" applyProtection="1">
      <alignment vertical="center"/>
    </xf>
    <xf numFmtId="0" fontId="0" fillId="0" borderId="0" xfId="0" applyFont="1" applyProtection="1">
      <alignment vertical="center"/>
    </xf>
    <xf numFmtId="0" fontId="21" fillId="0" borderId="0" xfId="0" applyFont="1" applyBorder="1" applyAlignment="1" applyProtection="1">
      <alignment vertical="center" wrapText="1"/>
    </xf>
    <xf numFmtId="0" fontId="50" fillId="0" borderId="0" xfId="0" applyFont="1" applyBorder="1" applyAlignment="1" applyProtection="1">
      <alignment horizontal="right" vertical="center"/>
    </xf>
    <xf numFmtId="0" fontId="41" fillId="0" borderId="10" xfId="0" applyFont="1" applyFill="1" applyBorder="1" applyAlignment="1" applyProtection="1">
      <alignment horizontal="center" vertical="center" wrapText="1"/>
    </xf>
    <xf numFmtId="177" fontId="0" fillId="0" borderId="18" xfId="0" applyNumberFormat="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0" fillId="0" borderId="10" xfId="0" applyFont="1" applyBorder="1" applyProtection="1">
      <alignment vertical="center"/>
    </xf>
    <xf numFmtId="0" fontId="20" fillId="0" borderId="64" xfId="0" applyFont="1" applyBorder="1" applyProtection="1">
      <alignment vertical="center"/>
    </xf>
    <xf numFmtId="0" fontId="20" fillId="0" borderId="28" xfId="0" applyFont="1" applyBorder="1" applyProtection="1">
      <alignment vertical="center"/>
    </xf>
    <xf numFmtId="0" fontId="20" fillId="0" borderId="0" xfId="0" applyFont="1" applyAlignment="1" applyProtection="1">
      <alignment horizontal="center" vertical="center"/>
    </xf>
    <xf numFmtId="0" fontId="20" fillId="0" borderId="0" xfId="0" applyFont="1" applyBorder="1" applyProtection="1">
      <alignment vertical="center"/>
    </xf>
    <xf numFmtId="0" fontId="41" fillId="0" borderId="0" xfId="0" applyFont="1" applyFill="1" applyBorder="1" applyAlignment="1" applyProtection="1">
      <alignment horizontal="left" vertical="top" wrapText="1"/>
    </xf>
    <xf numFmtId="0" fontId="43" fillId="0" borderId="22" xfId="0" applyFont="1" applyFill="1" applyBorder="1" applyAlignment="1" applyProtection="1">
      <alignment horizontal="center" vertical="center" wrapText="1"/>
    </xf>
    <xf numFmtId="176" fontId="20" fillId="0" borderId="10" xfId="0" applyNumberFormat="1" applyFont="1" applyBorder="1" applyProtection="1">
      <alignment vertical="center"/>
    </xf>
    <xf numFmtId="176" fontId="43" fillId="0" borderId="10" xfId="0" applyNumberFormat="1" applyFont="1" applyFill="1" applyBorder="1" applyAlignment="1" applyProtection="1">
      <alignment horizontal="right" vertical="center" wrapText="1"/>
    </xf>
    <xf numFmtId="177" fontId="43" fillId="0" borderId="46" xfId="0" applyNumberFormat="1" applyFont="1" applyFill="1" applyBorder="1" applyAlignment="1" applyProtection="1">
      <alignment horizontal="right" vertical="center" wrapText="1"/>
    </xf>
    <xf numFmtId="0" fontId="20" fillId="0" borderId="14" xfId="0" applyFont="1" applyBorder="1" applyProtection="1">
      <alignment vertical="center"/>
    </xf>
    <xf numFmtId="0" fontId="43" fillId="0" borderId="0" xfId="0" applyFont="1" applyFill="1" applyBorder="1" applyAlignment="1" applyProtection="1">
      <alignment horizontal="center" vertical="center" wrapText="1"/>
    </xf>
    <xf numFmtId="176" fontId="20" fillId="0" borderId="0" xfId="0" applyNumberFormat="1" applyFont="1" applyBorder="1" applyProtection="1">
      <alignment vertical="center"/>
    </xf>
    <xf numFmtId="176" fontId="43" fillId="0" borderId="0" xfId="0" applyNumberFormat="1" applyFont="1" applyFill="1" applyBorder="1" applyAlignment="1" applyProtection="1">
      <alignment horizontal="right" vertical="center" wrapText="1"/>
    </xf>
    <xf numFmtId="177" fontId="43" fillId="0" borderId="0" xfId="0" applyNumberFormat="1" applyFont="1" applyFill="1" applyBorder="1" applyAlignment="1" applyProtection="1">
      <alignment horizontal="right" vertical="center" wrapText="1"/>
    </xf>
    <xf numFmtId="0" fontId="20" fillId="0" borderId="25" xfId="0" applyFont="1" applyBorder="1" applyProtection="1">
      <alignment vertical="center"/>
    </xf>
    <xf numFmtId="177" fontId="0" fillId="0" borderId="0" xfId="0" applyNumberFormat="1" applyBorder="1" applyAlignment="1" applyProtection="1">
      <alignment vertical="center"/>
    </xf>
    <xf numFmtId="0" fontId="0" fillId="0" borderId="21" xfId="0" applyBorder="1" applyAlignment="1" applyProtection="1">
      <alignment horizontal="left" vertical="center" shrinkToFit="1"/>
    </xf>
    <xf numFmtId="176" fontId="20" fillId="0" borderId="21" xfId="0" applyNumberFormat="1" applyFont="1" applyBorder="1" applyProtection="1">
      <alignment vertical="center"/>
    </xf>
    <xf numFmtId="0" fontId="0" fillId="0" borderId="0" xfId="0" applyBorder="1" applyAlignment="1" applyProtection="1">
      <alignment horizontal="left" vertical="center" shrinkToFit="1"/>
    </xf>
    <xf numFmtId="0" fontId="42" fillId="0" borderId="0" xfId="0" applyFont="1" applyFill="1" applyBorder="1" applyAlignment="1" applyProtection="1">
      <alignment vertical="center" wrapText="1"/>
    </xf>
    <xf numFmtId="177" fontId="20" fillId="0" borderId="10" xfId="0" applyNumberFormat="1" applyFont="1" applyBorder="1" applyProtection="1">
      <alignment vertical="center"/>
    </xf>
    <xf numFmtId="0" fontId="42" fillId="0" borderId="25" xfId="0" applyFont="1" applyFill="1" applyBorder="1" applyAlignment="1" applyProtection="1">
      <alignment vertical="center" wrapText="1"/>
    </xf>
    <xf numFmtId="176" fontId="44" fillId="0" borderId="57" xfId="0" applyNumberFormat="1" applyFont="1" applyFill="1" applyBorder="1" applyAlignment="1" applyProtection="1">
      <alignment horizontal="right" vertical="center" wrapText="1"/>
    </xf>
    <xf numFmtId="0" fontId="20" fillId="0" borderId="18" xfId="0" applyFont="1" applyBorder="1" applyProtection="1">
      <alignment vertical="center"/>
    </xf>
    <xf numFmtId="177" fontId="20" fillId="0" borderId="18" xfId="0" applyNumberFormat="1" applyFont="1" applyBorder="1" applyProtection="1">
      <alignment vertical="center"/>
    </xf>
    <xf numFmtId="176" fontId="44" fillId="0" borderId="45" xfId="0" applyNumberFormat="1" applyFont="1" applyFill="1" applyBorder="1" applyAlignment="1" applyProtection="1">
      <alignment horizontal="right" vertical="center" wrapText="1"/>
    </xf>
    <xf numFmtId="181" fontId="20" fillId="0" borderId="25" xfId="0" applyNumberFormat="1" applyFont="1" applyBorder="1" applyProtection="1">
      <alignment vertical="center"/>
    </xf>
    <xf numFmtId="177" fontId="44" fillId="0" borderId="48" xfId="0" applyNumberFormat="1" applyFont="1" applyFill="1" applyBorder="1" applyAlignment="1" applyProtection="1">
      <alignment horizontal="right" vertical="center" wrapText="1"/>
    </xf>
    <xf numFmtId="181" fontId="20" fillId="0" borderId="0" xfId="0" applyNumberFormat="1" applyFont="1" applyBorder="1" applyAlignment="1" applyProtection="1">
      <alignment horizontal="right" vertical="center"/>
    </xf>
    <xf numFmtId="177" fontId="20" fillId="0" borderId="0" xfId="0" applyNumberFormat="1" applyFont="1" applyBorder="1" applyAlignment="1" applyProtection="1">
      <alignment horizontal="right" vertical="center"/>
    </xf>
    <xf numFmtId="177" fontId="44" fillId="0" borderId="60" xfId="0" applyNumberFormat="1" applyFont="1" applyFill="1" applyBorder="1" applyAlignment="1" applyProtection="1">
      <alignment horizontal="right" vertical="center" wrapText="1"/>
    </xf>
    <xf numFmtId="0" fontId="47" fillId="0" borderId="20" xfId="0" applyFont="1" applyFill="1" applyBorder="1" applyAlignment="1" applyProtection="1">
      <alignment horizontal="center" vertical="center" wrapText="1"/>
    </xf>
    <xf numFmtId="0" fontId="20" fillId="0" borderId="11" xfId="0" applyFont="1" applyBorder="1" applyProtection="1">
      <alignment vertical="center"/>
    </xf>
    <xf numFmtId="0" fontId="47" fillId="0" borderId="10" xfId="0" applyFont="1" applyFill="1" applyBorder="1" applyAlignment="1" applyProtection="1">
      <alignment vertical="center" wrapText="1"/>
    </xf>
    <xf numFmtId="177" fontId="0" fillId="0" borderId="46" xfId="0" applyNumberFormat="1" applyFont="1" applyFill="1" applyBorder="1" applyAlignment="1" applyProtection="1">
      <alignment horizontal="right" vertical="center" wrapText="1"/>
    </xf>
    <xf numFmtId="0" fontId="20" fillId="0" borderId="70" xfId="0" applyFont="1" applyBorder="1" applyAlignment="1" applyProtection="1">
      <alignment vertical="center" wrapText="1"/>
    </xf>
    <xf numFmtId="0" fontId="20" fillId="0" borderId="69" xfId="0" applyFont="1" applyBorder="1" applyProtection="1">
      <alignment vertical="center"/>
    </xf>
    <xf numFmtId="0" fontId="47" fillId="0" borderId="21" xfId="0" applyFont="1" applyFill="1" applyBorder="1" applyAlignment="1" applyProtection="1">
      <alignment vertical="center" wrapText="1"/>
    </xf>
    <xf numFmtId="0" fontId="20" fillId="0" borderId="16" xfId="0" applyFont="1" applyBorder="1" applyProtection="1">
      <alignment vertical="center"/>
    </xf>
    <xf numFmtId="0" fontId="47" fillId="0" borderId="0" xfId="0" applyFont="1" applyFill="1" applyBorder="1" applyAlignment="1" applyProtection="1">
      <alignment vertical="center" wrapText="1"/>
    </xf>
    <xf numFmtId="0" fontId="26" fillId="0" borderId="0" xfId="0" applyFont="1" applyFill="1" applyBorder="1" applyAlignment="1" applyProtection="1">
      <alignment horizontal="left" vertical="top" wrapText="1"/>
    </xf>
    <xf numFmtId="177" fontId="20" fillId="0" borderId="0" xfId="0" applyNumberFormat="1" applyFont="1" applyBorder="1" applyProtection="1">
      <alignment vertical="center"/>
    </xf>
    <xf numFmtId="177" fontId="44" fillId="0" borderId="0" xfId="0" applyNumberFormat="1" applyFont="1" applyFill="1" applyBorder="1" applyAlignment="1" applyProtection="1">
      <alignment horizontal="right" vertical="center" wrapText="1"/>
    </xf>
    <xf numFmtId="0" fontId="47" fillId="0" borderId="0"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20" fillId="0" borderId="0" xfId="0" applyFont="1" applyBorder="1" applyAlignment="1" applyProtection="1">
      <alignment horizontal="center" vertical="center" wrapText="1"/>
    </xf>
    <xf numFmtId="180" fontId="44" fillId="0" borderId="48" xfId="0" applyNumberFormat="1" applyFont="1" applyFill="1" applyBorder="1" applyAlignment="1" applyProtection="1">
      <alignment horizontal="right" vertical="center"/>
    </xf>
    <xf numFmtId="0" fontId="20" fillId="0" borderId="20" xfId="0" applyFont="1" applyBorder="1" applyProtection="1">
      <alignment vertical="center"/>
    </xf>
    <xf numFmtId="0" fontId="43" fillId="0" borderId="0" xfId="0" applyFont="1" applyFill="1" applyBorder="1" applyAlignment="1" applyProtection="1">
      <alignment vertical="center" wrapText="1"/>
    </xf>
    <xf numFmtId="181" fontId="20" fillId="0" borderId="52" xfId="0" applyNumberFormat="1" applyFont="1" applyBorder="1" applyProtection="1">
      <alignment vertical="center"/>
    </xf>
    <xf numFmtId="181" fontId="44" fillId="0" borderId="37" xfId="0" applyNumberFormat="1" applyFont="1" applyFill="1" applyBorder="1" applyAlignment="1" applyProtection="1">
      <alignment horizontal="right" vertical="center" wrapText="1"/>
    </xf>
    <xf numFmtId="180" fontId="44" fillId="0" borderId="60" xfId="0" applyNumberFormat="1"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48" fillId="0" borderId="0" xfId="0" applyFont="1" applyProtection="1">
      <alignment vertical="center"/>
    </xf>
    <xf numFmtId="181" fontId="20" fillId="0" borderId="53" xfId="0" applyNumberFormat="1" applyFont="1" applyBorder="1" applyProtection="1">
      <alignment vertical="center"/>
    </xf>
    <xf numFmtId="181" fontId="44" fillId="0" borderId="51" xfId="0" applyNumberFormat="1" applyFont="1" applyFill="1" applyBorder="1" applyAlignment="1" applyProtection="1">
      <alignment horizontal="right" vertical="center" wrapText="1"/>
    </xf>
    <xf numFmtId="0" fontId="20" fillId="0" borderId="59" xfId="0" applyFont="1" applyBorder="1" applyAlignment="1" applyProtection="1">
      <alignment horizontal="center" vertical="center"/>
    </xf>
    <xf numFmtId="0" fontId="0" fillId="0" borderId="10" xfId="0" applyBorder="1" applyAlignment="1" applyProtection="1">
      <alignment vertical="center"/>
    </xf>
    <xf numFmtId="0" fontId="29" fillId="0" borderId="10"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44" fillId="0" borderId="0" xfId="0" applyFont="1" applyAlignment="1" applyProtection="1">
      <alignment vertical="center"/>
    </xf>
    <xf numFmtId="181" fontId="20" fillId="0" borderId="54" xfId="0" applyNumberFormat="1" applyFont="1" applyBorder="1" applyProtection="1">
      <alignment vertical="center"/>
    </xf>
    <xf numFmtId="181" fontId="44" fillId="0" borderId="42" xfId="0" applyNumberFormat="1" applyFont="1" applyFill="1" applyBorder="1" applyAlignment="1" applyProtection="1">
      <alignment horizontal="right" vertical="center" wrapText="1"/>
    </xf>
    <xf numFmtId="181" fontId="0" fillId="0" borderId="42" xfId="0" applyNumberFormat="1" applyBorder="1" applyAlignment="1" applyProtection="1">
      <alignment horizontal="right" vertical="center"/>
    </xf>
    <xf numFmtId="0" fontId="20" fillId="0" borderId="28" xfId="0" applyFont="1" applyBorder="1" applyAlignment="1" applyProtection="1">
      <alignment horizontal="center" vertical="center"/>
    </xf>
    <xf numFmtId="0" fontId="41" fillId="0" borderId="0" xfId="0" applyFont="1" applyBorder="1" applyAlignment="1" applyProtection="1">
      <alignment vertical="top" wrapText="1"/>
    </xf>
    <xf numFmtId="0" fontId="20" fillId="0" borderId="0" xfId="0" applyFont="1" applyAlignment="1" applyProtection="1">
      <alignment vertical="center"/>
    </xf>
    <xf numFmtId="0" fontId="20" fillId="0" borderId="32" xfId="0" applyFont="1" applyBorder="1" applyAlignment="1" applyProtection="1">
      <alignment horizontal="center" vertical="center" shrinkToFit="1"/>
    </xf>
    <xf numFmtId="0" fontId="28" fillId="0" borderId="32" xfId="0" applyFont="1" applyBorder="1" applyAlignment="1" applyProtection="1">
      <alignment vertical="center" shrinkToFit="1"/>
    </xf>
    <xf numFmtId="0" fontId="20" fillId="0" borderId="32" xfId="0" applyFont="1" applyBorder="1" applyProtection="1">
      <alignment vertical="center"/>
    </xf>
    <xf numFmtId="0" fontId="20" fillId="0" borderId="68" xfId="0" applyFont="1" applyBorder="1" applyProtection="1">
      <alignment vertical="center"/>
    </xf>
    <xf numFmtId="0" fontId="0" fillId="0" borderId="18" xfId="0" applyBorder="1" applyAlignment="1" applyProtection="1">
      <alignment vertical="center"/>
    </xf>
    <xf numFmtId="0" fontId="20" fillId="0" borderId="0" xfId="0" applyFont="1" applyFill="1" applyBorder="1" applyProtection="1">
      <alignment vertical="center"/>
    </xf>
    <xf numFmtId="0" fontId="20" fillId="0" borderId="65" xfId="0" applyFont="1" applyBorder="1" applyProtection="1">
      <alignment vertical="center"/>
    </xf>
    <xf numFmtId="180" fontId="0" fillId="0" borderId="0" xfId="0" applyNumberFormat="1" applyBorder="1" applyAlignment="1" applyProtection="1">
      <alignment vertical="center"/>
    </xf>
    <xf numFmtId="0" fontId="20" fillId="0" borderId="12" xfId="0" applyFont="1" applyBorder="1" applyAlignment="1" applyProtection="1">
      <alignment horizontal="center" vertical="center"/>
    </xf>
    <xf numFmtId="0" fontId="41" fillId="0" borderId="0" xfId="0" applyFont="1" applyBorder="1" applyAlignment="1" applyProtection="1">
      <alignment vertical="center" wrapText="1"/>
    </xf>
    <xf numFmtId="0" fontId="20" fillId="0" borderId="18" xfId="0" applyFont="1" applyBorder="1" applyAlignment="1" applyProtection="1">
      <alignment horizontal="center" vertical="center" shrinkToFit="1"/>
    </xf>
    <xf numFmtId="0" fontId="56" fillId="0" borderId="10" xfId="0" applyFont="1" applyBorder="1" applyAlignment="1" applyProtection="1">
      <alignment horizontal="center" vertical="center"/>
    </xf>
    <xf numFmtId="0" fontId="20" fillId="0" borderId="26" xfId="0" applyFont="1" applyBorder="1" applyProtection="1">
      <alignment vertical="center"/>
    </xf>
    <xf numFmtId="0" fontId="20" fillId="0" borderId="23" xfId="0" applyFont="1" applyBorder="1" applyProtection="1">
      <alignment vertical="center"/>
    </xf>
    <xf numFmtId="0" fontId="43" fillId="0" borderId="23" xfId="0" applyFont="1" applyBorder="1" applyAlignment="1" applyProtection="1">
      <alignment vertical="center" wrapText="1"/>
    </xf>
    <xf numFmtId="180" fontId="43" fillId="0" borderId="23" xfId="0" applyNumberFormat="1" applyFont="1" applyBorder="1" applyAlignment="1" applyProtection="1">
      <alignment vertical="center" wrapText="1"/>
    </xf>
    <xf numFmtId="180" fontId="44" fillId="0" borderId="23" xfId="0" applyNumberFormat="1" applyFont="1" applyBorder="1" applyAlignment="1" applyProtection="1">
      <alignment horizontal="right" vertical="center" wrapText="1"/>
    </xf>
    <xf numFmtId="0" fontId="55" fillId="0" borderId="18" xfId="0" applyFont="1" applyBorder="1" applyAlignment="1" applyProtection="1">
      <alignment horizontal="left" vertical="center" wrapText="1"/>
    </xf>
    <xf numFmtId="177" fontId="33" fillId="0" borderId="18" xfId="0" applyNumberFormat="1" applyFont="1" applyBorder="1" applyAlignment="1" applyProtection="1">
      <alignment horizontal="center" vertical="center"/>
    </xf>
    <xf numFmtId="0" fontId="46" fillId="0" borderId="10" xfId="0" applyFont="1" applyBorder="1" applyAlignment="1" applyProtection="1">
      <alignment vertical="center" wrapText="1"/>
    </xf>
    <xf numFmtId="0" fontId="46" fillId="0" borderId="33" xfId="0" applyFont="1" applyBorder="1" applyAlignment="1" applyProtection="1">
      <alignment vertical="center" wrapText="1"/>
    </xf>
    <xf numFmtId="0" fontId="46" fillId="0" borderId="34"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0" xfId="0" applyFont="1" applyBorder="1" applyAlignment="1" applyProtection="1">
      <alignment horizontal="center" vertical="center" wrapText="1"/>
    </xf>
    <xf numFmtId="0" fontId="37" fillId="0" borderId="10" xfId="0" applyFont="1" applyBorder="1" applyAlignment="1" applyProtection="1">
      <alignment vertical="center" wrapText="1"/>
    </xf>
    <xf numFmtId="0" fontId="20" fillId="0" borderId="35" xfId="0" applyFont="1" applyBorder="1" applyAlignment="1" applyProtection="1">
      <alignment horizontal="center" vertical="center" shrinkToFit="1"/>
    </xf>
    <xf numFmtId="0" fontId="20" fillId="0" borderId="36"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22" xfId="0" applyFont="1" applyBorder="1" applyAlignment="1" applyProtection="1">
      <alignment horizontal="right" vertical="center" shrinkToFit="1"/>
    </xf>
    <xf numFmtId="177" fontId="20" fillId="0" borderId="10" xfId="0" applyNumberFormat="1" applyFont="1" applyBorder="1" applyAlignment="1" applyProtection="1">
      <alignment horizontal="right" vertical="center" shrinkToFit="1"/>
    </xf>
    <xf numFmtId="180" fontId="37" fillId="0" borderId="10" xfId="0" applyNumberFormat="1" applyFont="1" applyBorder="1" applyAlignment="1" applyProtection="1">
      <alignment vertical="center" wrapText="1"/>
    </xf>
    <xf numFmtId="0" fontId="26" fillId="0" borderId="0" xfId="0" applyFont="1" applyBorder="1" applyAlignment="1" applyProtection="1">
      <alignment vertical="center" wrapText="1"/>
    </xf>
    <xf numFmtId="0" fontId="20" fillId="0" borderId="37" xfId="0" applyFont="1" applyBorder="1" applyProtection="1">
      <alignment vertical="center"/>
    </xf>
    <xf numFmtId="0" fontId="37" fillId="0" borderId="37" xfId="0" applyFont="1" applyBorder="1" applyAlignment="1" applyProtection="1">
      <alignment vertical="center" wrapText="1"/>
    </xf>
    <xf numFmtId="0" fontId="20" fillId="0" borderId="38" xfId="0" applyFont="1" applyBorder="1" applyAlignment="1" applyProtection="1">
      <alignment horizontal="center" vertical="center" shrinkToFit="1"/>
    </xf>
    <xf numFmtId="0" fontId="20" fillId="0" borderId="39" xfId="0" applyFont="1" applyBorder="1" applyAlignment="1" applyProtection="1">
      <alignment horizontal="right" vertical="center" shrinkToFit="1"/>
    </xf>
    <xf numFmtId="0" fontId="37" fillId="0" borderId="40" xfId="0" applyFont="1" applyBorder="1" applyAlignment="1" applyProtection="1">
      <alignment horizontal="right" vertical="center" shrinkToFit="1"/>
    </xf>
    <xf numFmtId="177" fontId="20" fillId="0" borderId="41" xfId="0" applyNumberFormat="1" applyFont="1" applyBorder="1" applyAlignment="1" applyProtection="1">
      <alignment horizontal="right" vertical="center" shrinkToFit="1"/>
    </xf>
    <xf numFmtId="177" fontId="20" fillId="0" borderId="37" xfId="0" applyNumberFormat="1" applyFont="1" applyBorder="1" applyAlignment="1" applyProtection="1">
      <alignment horizontal="right" vertical="center" shrinkToFit="1"/>
    </xf>
    <xf numFmtId="180" fontId="37" fillId="0" borderId="26" xfId="0" applyNumberFormat="1" applyFont="1" applyBorder="1" applyAlignment="1" applyProtection="1">
      <alignment vertical="center" wrapText="1"/>
    </xf>
    <xf numFmtId="180" fontId="37" fillId="0" borderId="37" xfId="0" applyNumberFormat="1" applyFont="1" applyBorder="1" applyAlignment="1" applyProtection="1">
      <alignment vertical="center" wrapText="1"/>
    </xf>
    <xf numFmtId="0" fontId="26" fillId="0" borderId="0" xfId="0" applyFont="1" applyBorder="1" applyAlignment="1" applyProtection="1">
      <alignment horizontal="center" vertical="center" wrapText="1"/>
    </xf>
    <xf numFmtId="0" fontId="20" fillId="0" borderId="40" xfId="0" applyFont="1" applyBorder="1" applyAlignment="1" applyProtection="1">
      <alignment horizontal="right" vertical="center" shrinkToFit="1"/>
    </xf>
    <xf numFmtId="0" fontId="20" fillId="0" borderId="37" xfId="0" applyFont="1" applyBorder="1" applyAlignment="1" applyProtection="1">
      <alignment horizontal="right" vertical="center" shrinkToFit="1"/>
    </xf>
    <xf numFmtId="177" fontId="20" fillId="0" borderId="18" xfId="0" applyNumberFormat="1" applyFont="1" applyBorder="1" applyAlignment="1" applyProtection="1">
      <alignment horizontal="right" vertical="center" shrinkToFit="1"/>
    </xf>
    <xf numFmtId="0" fontId="37" fillId="0" borderId="20" xfId="0" applyFont="1" applyBorder="1" applyAlignment="1" applyProtection="1">
      <alignment vertical="center" wrapText="1"/>
    </xf>
    <xf numFmtId="0" fontId="20" fillId="0" borderId="42" xfId="0" applyFont="1" applyBorder="1" applyAlignment="1" applyProtection="1">
      <alignment horizontal="right" vertical="center" shrinkToFit="1"/>
    </xf>
    <xf numFmtId="177" fontId="20" fillId="0" borderId="42" xfId="0" applyNumberFormat="1" applyFont="1" applyBorder="1" applyAlignment="1" applyProtection="1">
      <alignment horizontal="right" vertical="center" shrinkToFit="1"/>
    </xf>
    <xf numFmtId="180" fontId="37" fillId="0" borderId="20" xfId="0" applyNumberFormat="1" applyFont="1" applyBorder="1" applyAlignment="1" applyProtection="1">
      <alignment vertical="center" wrapText="1"/>
    </xf>
    <xf numFmtId="0" fontId="24" fillId="0" borderId="0" xfId="0" applyFont="1" applyFill="1" applyBorder="1" applyAlignment="1" applyProtection="1">
      <alignment vertical="center" wrapText="1"/>
    </xf>
    <xf numFmtId="0" fontId="20" fillId="0" borderId="18" xfId="0" applyFont="1" applyBorder="1" applyAlignment="1" applyProtection="1">
      <alignment vertical="center"/>
    </xf>
    <xf numFmtId="0" fontId="37" fillId="0" borderId="18" xfId="0" applyFont="1" applyBorder="1" applyAlignment="1" applyProtection="1">
      <alignment vertical="center" wrapText="1"/>
    </xf>
    <xf numFmtId="0" fontId="20" fillId="0" borderId="66" xfId="0" applyFont="1" applyBorder="1" applyAlignment="1" applyProtection="1">
      <alignment horizontal="center" vertical="center" shrinkToFit="1"/>
    </xf>
    <xf numFmtId="0" fontId="20" fillId="0" borderId="67" xfId="0" applyFont="1" applyBorder="1" applyAlignment="1" applyProtection="1">
      <alignment horizontal="right" vertical="center" shrinkToFit="1"/>
    </xf>
    <xf numFmtId="180" fontId="37" fillId="0" borderId="18" xfId="0" applyNumberFormat="1" applyFont="1" applyBorder="1" applyAlignment="1" applyProtection="1">
      <alignment vertical="center" wrapText="1"/>
    </xf>
    <xf numFmtId="180" fontId="44" fillId="0" borderId="18" xfId="0" applyNumberFormat="1" applyFont="1" applyBorder="1" applyAlignment="1" applyProtection="1">
      <alignment vertical="center" wrapText="1"/>
    </xf>
    <xf numFmtId="0" fontId="20" fillId="0" borderId="20" xfId="0" applyFont="1" applyBorder="1" applyAlignment="1" applyProtection="1">
      <alignment vertical="center"/>
    </xf>
    <xf numFmtId="177" fontId="20" fillId="0" borderId="20" xfId="0" applyNumberFormat="1" applyFont="1" applyBorder="1" applyAlignment="1" applyProtection="1">
      <alignment horizontal="right" vertical="center" shrinkToFit="1"/>
    </xf>
    <xf numFmtId="180" fontId="44" fillId="0" borderId="20" xfId="0" applyNumberFormat="1" applyFont="1" applyBorder="1" applyAlignment="1" applyProtection="1">
      <alignment vertical="center" wrapText="1"/>
    </xf>
    <xf numFmtId="0" fontId="0" fillId="0" borderId="10" xfId="0" applyFont="1" applyFill="1" applyBorder="1" applyAlignment="1" applyProtection="1">
      <alignment vertical="center"/>
    </xf>
    <xf numFmtId="0" fontId="20" fillId="0" borderId="10" xfId="0" applyFont="1" applyBorder="1" applyAlignment="1" applyProtection="1">
      <alignment vertical="center"/>
    </xf>
    <xf numFmtId="179" fontId="20" fillId="0" borderId="1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183" fontId="20" fillId="0" borderId="10" xfId="0" applyNumberFormat="1" applyFont="1" applyBorder="1" applyAlignment="1" applyProtection="1">
      <alignment horizontal="left" vertical="center"/>
    </xf>
    <xf numFmtId="177" fontId="44" fillId="0" borderId="49" xfId="0" applyNumberFormat="1" applyFont="1" applyFill="1" applyBorder="1" applyAlignment="1" applyProtection="1">
      <alignment horizontal="right" vertical="center" wrapText="1"/>
    </xf>
    <xf numFmtId="0" fontId="0" fillId="0" borderId="0" xfId="0" applyAlignment="1">
      <alignment wrapText="1"/>
    </xf>
    <xf numFmtId="0" fontId="30" fillId="0" borderId="95"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30" fillId="0" borderId="16"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0" fillId="0" borderId="23" xfId="0" applyFont="1" applyFill="1" applyBorder="1" applyAlignment="1" applyProtection="1">
      <alignment vertical="center" wrapText="1"/>
    </xf>
    <xf numFmtId="0" fontId="54" fillId="0" borderId="13" xfId="0" applyFont="1" applyFill="1" applyBorder="1" applyAlignment="1" applyProtection="1">
      <alignment horizontal="right" vertical="center"/>
    </xf>
    <xf numFmtId="0" fontId="24" fillId="0" borderId="71" xfId="0" applyFont="1" applyBorder="1" applyAlignment="1" applyProtection="1">
      <alignment horizontal="center" vertical="center" wrapText="1"/>
    </xf>
    <xf numFmtId="0" fontId="27" fillId="0" borderId="62" xfId="0" quotePrefix="1" applyFont="1" applyBorder="1" applyAlignment="1" applyProtection="1">
      <alignment horizontal="center" vertical="center" wrapText="1"/>
    </xf>
    <xf numFmtId="0" fontId="50" fillId="0" borderId="0" xfId="0" applyFont="1" applyBorder="1" applyAlignment="1" applyProtection="1">
      <alignment horizontal="center" vertical="center"/>
    </xf>
    <xf numFmtId="177" fontId="27" fillId="0" borderId="10" xfId="0" applyNumberFormat="1" applyFont="1" applyFill="1" applyBorder="1" applyAlignment="1" applyProtection="1">
      <alignment horizontal="center" vertical="center" wrapText="1"/>
    </xf>
    <xf numFmtId="176" fontId="27" fillId="0" borderId="10" xfId="0" applyNumberFormat="1" applyFont="1" applyFill="1" applyBorder="1" applyAlignment="1" applyProtection="1">
      <alignment horizontal="center" vertical="center" wrapText="1"/>
    </xf>
    <xf numFmtId="0" fontId="40" fillId="33" borderId="10" xfId="0" applyFont="1" applyFill="1" applyBorder="1" applyAlignment="1" applyProtection="1">
      <alignment horizontal="center" vertical="center" shrinkToFit="1"/>
    </xf>
    <xf numFmtId="177" fontId="27" fillId="33" borderId="10" xfId="0" applyNumberFormat="1" applyFont="1" applyFill="1" applyBorder="1" applyAlignment="1" applyProtection="1">
      <alignment horizontal="center" vertical="center" wrapText="1"/>
    </xf>
    <xf numFmtId="0" fontId="29" fillId="0" borderId="31" xfId="0" applyFont="1" applyFill="1" applyBorder="1" applyAlignment="1" applyProtection="1">
      <alignment vertical="center" wrapText="1"/>
    </xf>
    <xf numFmtId="0" fontId="27" fillId="0" borderId="30" xfId="0" applyFont="1" applyFill="1" applyBorder="1" applyAlignment="1" applyProtection="1">
      <alignment horizontal="center" vertical="center" wrapText="1"/>
    </xf>
    <xf numFmtId="0" fontId="27" fillId="0" borderId="95" xfId="0" applyFont="1" applyFill="1" applyBorder="1" applyAlignment="1" applyProtection="1">
      <alignment horizontal="center" vertical="center" wrapText="1"/>
    </xf>
    <xf numFmtId="0" fontId="27" fillId="0" borderId="97"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6" fontId="0" fillId="0" borderId="10" xfId="0" applyNumberFormat="1" applyBorder="1" applyAlignment="1" applyProtection="1">
      <alignment vertical="center"/>
    </xf>
    <xf numFmtId="0" fontId="43" fillId="0" borderId="10" xfId="0" applyFont="1" applyFill="1" applyBorder="1" applyAlignment="1" applyProtection="1">
      <alignment horizontal="center" vertical="center" wrapText="1"/>
    </xf>
    <xf numFmtId="177" fontId="0" fillId="0" borderId="10" xfId="0" applyNumberFormat="1" applyBorder="1" applyAlignment="1" applyProtection="1">
      <alignment vertical="center"/>
    </xf>
    <xf numFmtId="0" fontId="24" fillId="0" borderId="63" xfId="0" applyFont="1" applyFill="1" applyBorder="1" applyAlignment="1" applyProtection="1">
      <alignment horizontal="center" vertical="center" wrapText="1"/>
    </xf>
    <xf numFmtId="0" fontId="24" fillId="0" borderId="97" xfId="0" applyFont="1" applyFill="1" applyBorder="1" applyAlignment="1" applyProtection="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pplyProtection="1">
      <alignment horizontal="center" vertical="center" wrapText="1"/>
    </xf>
    <xf numFmtId="0" fontId="35" fillId="0" borderId="0" xfId="0" applyFont="1" applyBorder="1" applyAlignment="1" applyProtection="1">
      <alignment horizontal="left" vertical="center"/>
    </xf>
    <xf numFmtId="0" fontId="59" fillId="34" borderId="10" xfId="0" applyFont="1" applyFill="1" applyBorder="1" applyAlignment="1" applyProtection="1">
      <alignment horizontal="center" vertical="center"/>
    </xf>
    <xf numFmtId="0" fontId="60" fillId="34" borderId="10" xfId="0" applyFont="1" applyFill="1" applyBorder="1" applyAlignment="1" applyProtection="1">
      <alignment horizontal="left" vertical="center"/>
    </xf>
    <xf numFmtId="0" fontId="61" fillId="0" borderId="10" xfId="0" applyFont="1" applyBorder="1" applyProtection="1">
      <alignment vertical="center"/>
    </xf>
    <xf numFmtId="0" fontId="20" fillId="0" borderId="10" xfId="0" applyFont="1" applyBorder="1" applyAlignment="1" applyProtection="1">
      <alignment vertical="center" wrapText="1"/>
    </xf>
    <xf numFmtId="0" fontId="48" fillId="0" borderId="10" xfId="0" applyFont="1" applyBorder="1" applyProtection="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pplyProtection="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63" fillId="37" borderId="0" xfId="0" applyFont="1" applyFill="1" applyProtection="1">
      <alignment vertical="center"/>
    </xf>
    <xf numFmtId="0" fontId="63" fillId="37" borderId="0" xfId="0" applyFont="1" applyFill="1" applyAlignment="1" applyProtection="1">
      <alignment vertical="center"/>
    </xf>
    <xf numFmtId="0" fontId="0" fillId="38" borderId="47" xfId="0" applyFill="1" applyBorder="1" applyAlignment="1" applyProtection="1">
      <alignment horizontal="center" vertical="center"/>
    </xf>
    <xf numFmtId="180" fontId="0" fillId="38" borderId="46" xfId="0" applyNumberFormat="1" applyFill="1" applyBorder="1" applyAlignment="1" applyProtection="1">
      <alignment vertical="center"/>
    </xf>
    <xf numFmtId="180" fontId="20" fillId="38" borderId="48" xfId="0" applyNumberFormat="1" applyFont="1" applyFill="1" applyBorder="1" applyAlignment="1" applyProtection="1">
      <alignment horizontal="right" vertical="center"/>
    </xf>
    <xf numFmtId="0" fontId="20" fillId="0" borderId="20" xfId="0" applyFont="1" applyBorder="1" applyAlignment="1" applyProtection="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0" fontId="21" fillId="0" borderId="0" xfId="0" applyFont="1" applyBorder="1" applyAlignment="1" applyProtection="1">
      <alignment horizontal="left" vertical="center" wrapText="1"/>
    </xf>
    <xf numFmtId="176" fontId="24" fillId="0" borderId="18" xfId="0" applyNumberFormat="1" applyFont="1" applyFill="1" applyBorder="1" applyAlignment="1" applyProtection="1">
      <alignment horizontal="center" vertical="center" wrapText="1"/>
    </xf>
    <xf numFmtId="176" fontId="24" fillId="0" borderId="10" xfId="0" applyNumberFormat="1" applyFont="1" applyBorder="1" applyAlignment="1" applyProtection="1">
      <alignment horizontal="center" vertical="center" wrapText="1"/>
    </xf>
    <xf numFmtId="176" fontId="24" fillId="0" borderId="18" xfId="0" applyNumberFormat="1" applyFont="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176" fontId="24" fillId="0" borderId="10" xfId="0" applyNumberFormat="1" applyFont="1" applyFill="1" applyBorder="1" applyAlignment="1" applyProtection="1">
      <alignment horizontal="center" vertical="center" wrapText="1"/>
    </xf>
    <xf numFmtId="0" fontId="35" fillId="0" borderId="0" xfId="0" applyFont="1" applyProtection="1">
      <alignment vertical="center"/>
    </xf>
    <xf numFmtId="0" fontId="20" fillId="0" borderId="0" xfId="0" applyFont="1" applyFill="1" applyAlignment="1" applyProtection="1">
      <alignment vertical="center"/>
    </xf>
    <xf numFmtId="0" fontId="61"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Alignment="1" applyProtection="1">
      <alignment horizontal="right" vertical="center"/>
    </xf>
    <xf numFmtId="177" fontId="20" fillId="0" borderId="10" xfId="0" applyNumberFormat="1" applyFont="1" applyBorder="1" applyAlignment="1" applyProtection="1">
      <alignment vertical="center"/>
    </xf>
    <xf numFmtId="0" fontId="38" fillId="0" borderId="0" xfId="0" applyFont="1" applyProtection="1">
      <alignment vertical="center"/>
    </xf>
    <xf numFmtId="0" fontId="58" fillId="0" borderId="12" xfId="0" applyFont="1" applyBorder="1" applyAlignment="1" applyProtection="1">
      <alignment horizontal="center" vertical="center" wrapText="1"/>
    </xf>
    <xf numFmtId="0" fontId="58" fillId="0" borderId="10" xfId="0" applyFont="1" applyBorder="1" applyAlignment="1" applyProtection="1">
      <alignment horizontal="center" vertical="center" wrapText="1"/>
    </xf>
    <xf numFmtId="0" fontId="46" fillId="0" borderId="22" xfId="0" applyFont="1" applyBorder="1" applyAlignment="1" applyProtection="1">
      <alignment vertical="center" wrapText="1"/>
    </xf>
    <xf numFmtId="0" fontId="28" fillId="0" borderId="10"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0" fillId="0" borderId="22" xfId="0" applyFont="1" applyBorder="1" applyAlignment="1" applyProtection="1">
      <alignment horizontal="left" vertical="center" shrinkToFit="1"/>
    </xf>
    <xf numFmtId="177" fontId="20" fillId="0" borderId="43" xfId="0" applyNumberFormat="1" applyFont="1" applyBorder="1" applyProtection="1">
      <alignment vertical="center"/>
    </xf>
    <xf numFmtId="177" fontId="20" fillId="0" borderId="37" xfId="0" applyNumberFormat="1" applyFont="1" applyBorder="1" applyProtection="1">
      <alignment vertical="center"/>
    </xf>
    <xf numFmtId="177" fontId="20" fillId="0" borderId="99" xfId="0" applyNumberFormat="1" applyFont="1" applyBorder="1" applyProtection="1">
      <alignment vertical="center"/>
    </xf>
    <xf numFmtId="177" fontId="20" fillId="0" borderId="51" xfId="0" applyNumberFormat="1" applyFont="1" applyBorder="1" applyProtection="1">
      <alignment vertical="center"/>
    </xf>
    <xf numFmtId="177" fontId="20" fillId="0" borderId="100" xfId="0" applyNumberFormat="1" applyFont="1" applyBorder="1" applyProtection="1">
      <alignment vertical="center"/>
    </xf>
    <xf numFmtId="177" fontId="20" fillId="0" borderId="42" xfId="0" applyNumberFormat="1" applyFont="1" applyBorder="1" applyProtection="1">
      <alignment vertical="center"/>
    </xf>
    <xf numFmtId="177" fontId="20" fillId="0" borderId="101" xfId="0" applyNumberFormat="1" applyFont="1" applyBorder="1" applyProtection="1">
      <alignment vertical="center"/>
    </xf>
    <xf numFmtId="0" fontId="20" fillId="0" borderId="0" xfId="0" applyFont="1" applyAlignment="1" applyProtection="1"/>
    <xf numFmtId="49" fontId="54" fillId="35" borderId="50" xfId="0" applyNumberFormat="1" applyFont="1" applyFill="1" applyBorder="1" applyAlignment="1" applyProtection="1">
      <alignment vertical="center" wrapText="1"/>
      <protection locked="0"/>
    </xf>
    <xf numFmtId="176" fontId="24" fillId="33" borderId="18" xfId="0" applyNumberFormat="1"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176" fontId="24" fillId="0" borderId="102" xfId="0" applyNumberFormat="1" applyFont="1" applyFill="1" applyBorder="1" applyAlignment="1" applyProtection="1">
      <alignment horizontal="center" vertical="center" wrapText="1"/>
    </xf>
    <xf numFmtId="181" fontId="27" fillId="0" borderId="17" xfId="0" applyNumberFormat="1" applyFont="1" applyFill="1" applyBorder="1" applyAlignment="1" applyProtection="1">
      <alignment horizontal="center" vertical="center" wrapText="1" shrinkToFit="1"/>
    </xf>
    <xf numFmtId="0" fontId="0" fillId="0" borderId="0" xfId="0" applyFill="1" applyBorder="1" applyAlignment="1"/>
    <xf numFmtId="1" fontId="23" fillId="0" borderId="10" xfId="0" applyNumberFormat="1" applyFont="1" applyFill="1" applyBorder="1" applyAlignment="1" applyProtection="1">
      <alignment horizontal="right" vertical="center" wrapText="1"/>
    </xf>
    <xf numFmtId="0" fontId="47" fillId="0" borderId="11" xfId="0" applyFont="1" applyFill="1" applyBorder="1" applyAlignment="1" applyProtection="1">
      <alignment horizontal="center" vertical="center" wrapText="1"/>
    </xf>
    <xf numFmtId="0" fontId="25" fillId="0" borderId="61" xfId="0" applyFont="1" applyFill="1" applyBorder="1" applyAlignment="1" applyProtection="1">
      <alignment horizontal="left" wrapText="1" shrinkToFit="1"/>
    </xf>
    <xf numFmtId="0" fontId="0" fillId="0" borderId="0" xfId="0" applyFont="1" applyAlignment="1" applyProtection="1"/>
    <xf numFmtId="0" fontId="20" fillId="0" borderId="56" xfId="0" applyFont="1" applyBorder="1" applyAlignment="1" applyProtection="1"/>
    <xf numFmtId="0" fontId="20" fillId="0" borderId="0" xfId="0" applyFont="1" applyBorder="1" applyAlignment="1" applyProtection="1"/>
    <xf numFmtId="0" fontId="48" fillId="0" borderId="0" xfId="0" applyFont="1" applyBorder="1" applyAlignment="1" applyProtection="1"/>
    <xf numFmtId="177" fontId="20" fillId="0" borderId="0" xfId="0" applyNumberFormat="1" applyFont="1" applyBorder="1" applyAlignment="1" applyProtection="1"/>
    <xf numFmtId="176" fontId="44" fillId="0" borderId="0" xfId="0" applyNumberFormat="1" applyFont="1" applyFill="1" applyBorder="1" applyAlignment="1" applyProtection="1">
      <alignment horizontal="right" wrapText="1"/>
    </xf>
    <xf numFmtId="0" fontId="54" fillId="0" borderId="23" xfId="0" applyFont="1" applyBorder="1" applyAlignment="1" applyProtection="1">
      <alignment vertical="center"/>
    </xf>
    <xf numFmtId="0" fontId="64" fillId="0" borderId="0" xfId="0" applyFont="1" applyProtection="1">
      <alignment vertical="center"/>
    </xf>
    <xf numFmtId="0" fontId="32" fillId="0" borderId="0" xfId="0" applyFont="1" applyBorder="1" applyAlignment="1" applyProtection="1">
      <alignment horizontal="center" vertical="center"/>
    </xf>
    <xf numFmtId="0" fontId="24" fillId="36" borderId="30" xfId="0" applyFont="1" applyFill="1" applyBorder="1" applyAlignment="1" applyProtection="1">
      <alignment horizontal="center" vertical="center" wrapText="1"/>
      <protection locked="0"/>
    </xf>
    <xf numFmtId="176" fontId="24" fillId="0" borderId="10" xfId="0" applyNumberFormat="1" applyFont="1" applyFill="1" applyBorder="1" applyAlignment="1" applyProtection="1">
      <alignment horizontal="center" vertical="center" wrapText="1"/>
    </xf>
    <xf numFmtId="0" fontId="65" fillId="0" borderId="0" xfId="0" applyFont="1" applyProtection="1">
      <alignment vertical="center"/>
    </xf>
    <xf numFmtId="0" fontId="62" fillId="0" borderId="0" xfId="0" applyFont="1" applyProtection="1">
      <alignment vertical="center"/>
    </xf>
    <xf numFmtId="0" fontId="68" fillId="0" borderId="0" xfId="0" applyFont="1" applyProtection="1">
      <alignment vertical="center"/>
    </xf>
    <xf numFmtId="0" fontId="65" fillId="0" borderId="0" xfId="0" applyFont="1" applyAlignment="1" applyProtection="1">
      <alignment horizontal="left" vertical="center" indent="2"/>
    </xf>
    <xf numFmtId="0" fontId="40" fillId="0" borderId="0" xfId="0" applyFont="1" applyAlignment="1" applyProtection="1">
      <alignment horizontal="justify" vertical="center"/>
    </xf>
    <xf numFmtId="0" fontId="68" fillId="0" borderId="0" xfId="0" applyFont="1" applyAlignment="1" applyProtection="1">
      <alignment horizontal="justify" vertical="center"/>
    </xf>
    <xf numFmtId="0" fontId="68" fillId="0" borderId="0" xfId="0" applyFont="1" applyAlignment="1" applyProtection="1">
      <alignment vertical="center"/>
    </xf>
    <xf numFmtId="0" fontId="68" fillId="0" borderId="0" xfId="0" applyFont="1" applyAlignment="1" applyProtection="1">
      <alignment horizontal="left" vertical="center"/>
    </xf>
    <xf numFmtId="0" fontId="68" fillId="0" borderId="0" xfId="0" applyFont="1" applyFill="1" applyAlignment="1" applyProtection="1">
      <alignment vertical="center" shrinkToFit="1"/>
    </xf>
    <xf numFmtId="0" fontId="71" fillId="0" borderId="0" xfId="0" applyFont="1" applyProtection="1">
      <alignment vertical="center"/>
    </xf>
    <xf numFmtId="0" fontId="72" fillId="0" borderId="0" xfId="0" applyFont="1" applyProtection="1">
      <alignment vertical="center"/>
    </xf>
    <xf numFmtId="0" fontId="65" fillId="0" borderId="0" xfId="0" applyFont="1" applyAlignment="1" applyProtection="1">
      <alignment horizontal="left" vertical="center"/>
    </xf>
    <xf numFmtId="0" fontId="47" fillId="0" borderId="0" xfId="0" applyFont="1" applyBorder="1" applyProtection="1">
      <alignment vertical="center"/>
    </xf>
    <xf numFmtId="0" fontId="65" fillId="0" borderId="0" xfId="0" applyFont="1" applyBorder="1" applyAlignment="1" applyProtection="1">
      <alignment horizontal="right" vertical="top"/>
    </xf>
    <xf numFmtId="0" fontId="73" fillId="0" borderId="0" xfId="0" applyFont="1" applyBorder="1" applyAlignment="1" applyProtection="1">
      <alignment horizontal="left" vertical="top" wrapText="1"/>
    </xf>
    <xf numFmtId="183" fontId="27" fillId="35" borderId="96" xfId="0" quotePrefix="1" applyNumberFormat="1" applyFont="1" applyFill="1" applyBorder="1" applyAlignment="1" applyProtection="1">
      <alignment horizontal="center" vertical="center" wrapText="1"/>
      <protection locked="0"/>
    </xf>
    <xf numFmtId="0" fontId="0" fillId="0" borderId="0" xfId="0" applyAlignment="1">
      <alignment horizontal="right" vertical="center"/>
    </xf>
    <xf numFmtId="0" fontId="0" fillId="0" borderId="0" xfId="0" applyFont="1" applyAlignment="1" applyProtection="1">
      <alignment vertical="center"/>
    </xf>
    <xf numFmtId="0" fontId="20" fillId="0" borderId="0" xfId="0" applyFont="1" applyBorder="1" applyAlignment="1" applyProtection="1">
      <alignment vertical="center"/>
    </xf>
    <xf numFmtId="0" fontId="44" fillId="0" borderId="0" xfId="0" applyFont="1" applyBorder="1" applyAlignment="1" applyProtection="1">
      <alignment vertical="center"/>
    </xf>
    <xf numFmtId="177" fontId="20" fillId="0" borderId="0" xfId="0" applyNumberFormat="1" applyFont="1" applyBorder="1" applyAlignment="1" applyProtection="1">
      <alignment vertical="center"/>
    </xf>
    <xf numFmtId="176" fontId="44" fillId="0" borderId="0" xfId="0" applyNumberFormat="1" applyFont="1" applyFill="1" applyBorder="1" applyAlignment="1" applyProtection="1">
      <alignment horizontal="right" vertical="center" wrapText="1"/>
    </xf>
    <xf numFmtId="0" fontId="0" fillId="0" borderId="0" xfId="0" applyBorder="1" applyAlignment="1" applyProtection="1">
      <alignment horizontal="right" vertical="center"/>
    </xf>
    <xf numFmtId="0" fontId="20" fillId="0" borderId="88" xfId="0" applyFont="1" applyBorder="1" applyProtection="1">
      <alignment vertical="center"/>
    </xf>
    <xf numFmtId="0" fontId="20" fillId="0" borderId="51" xfId="0" applyFont="1" applyBorder="1" applyProtection="1">
      <alignment vertical="center"/>
    </xf>
    <xf numFmtId="0" fontId="20" fillId="0" borderId="51" xfId="0" applyFont="1" applyBorder="1" applyAlignment="1" applyProtection="1">
      <alignment vertical="center"/>
    </xf>
    <xf numFmtId="0" fontId="37" fillId="0" borderId="51" xfId="0" applyFont="1" applyBorder="1" applyAlignment="1" applyProtection="1">
      <alignment vertical="center" wrapText="1"/>
    </xf>
    <xf numFmtId="0" fontId="20" fillId="0" borderId="111" xfId="0" applyFont="1" applyBorder="1" applyAlignment="1" applyProtection="1">
      <alignment horizontal="center" vertical="center" shrinkToFit="1"/>
    </xf>
    <xf numFmtId="0" fontId="20" fillId="0" borderId="112" xfId="0" applyFont="1" applyBorder="1" applyAlignment="1" applyProtection="1">
      <alignment horizontal="right" vertical="center" shrinkToFit="1"/>
    </xf>
    <xf numFmtId="0" fontId="20" fillId="0" borderId="113" xfId="0" applyFont="1" applyBorder="1" applyAlignment="1" applyProtection="1">
      <alignment horizontal="right" vertical="center" shrinkToFit="1"/>
    </xf>
    <xf numFmtId="177" fontId="20" fillId="0" borderId="114" xfId="0" applyNumberFormat="1" applyFont="1" applyBorder="1" applyProtection="1">
      <alignment vertical="center"/>
    </xf>
    <xf numFmtId="177" fontId="20" fillId="0" borderId="20" xfId="0" applyNumberFormat="1" applyFont="1" applyBorder="1" applyProtection="1">
      <alignment vertical="center"/>
    </xf>
    <xf numFmtId="177" fontId="20" fillId="0" borderId="69" xfId="0" applyNumberFormat="1" applyFont="1" applyBorder="1" applyProtection="1">
      <alignment vertical="center"/>
    </xf>
    <xf numFmtId="177" fontId="20" fillId="0" borderId="51" xfId="0" applyNumberFormat="1" applyFont="1" applyBorder="1" applyAlignment="1" applyProtection="1">
      <alignment horizontal="right" vertical="center" shrinkToFit="1"/>
    </xf>
    <xf numFmtId="180" fontId="37" fillId="0" borderId="51" xfId="0" applyNumberFormat="1" applyFont="1" applyBorder="1" applyAlignment="1" applyProtection="1">
      <alignment vertical="center" wrapText="1"/>
    </xf>
    <xf numFmtId="180" fontId="44" fillId="0" borderId="51" xfId="0" applyNumberFormat="1" applyFont="1" applyBorder="1" applyAlignment="1" applyProtection="1">
      <alignment vertical="center" wrapText="1"/>
    </xf>
    <xf numFmtId="0" fontId="20" fillId="0" borderId="34" xfId="0" applyFont="1" applyBorder="1" applyProtection="1">
      <alignment vertical="center"/>
    </xf>
    <xf numFmtId="0" fontId="20" fillId="0" borderId="33" xfId="0" applyFont="1" applyBorder="1" applyAlignment="1" applyProtection="1">
      <alignment horizontal="center" vertical="center"/>
    </xf>
    <xf numFmtId="0" fontId="44" fillId="0" borderId="10" xfId="0" applyFont="1" applyFill="1" applyBorder="1" applyAlignment="1" applyProtection="1">
      <alignment vertical="center" wrapText="1"/>
    </xf>
    <xf numFmtId="0" fontId="44" fillId="0" borderId="10" xfId="0" applyFont="1" applyFill="1" applyBorder="1" applyAlignment="1" applyProtection="1">
      <alignment vertical="center"/>
    </xf>
    <xf numFmtId="0" fontId="20" fillId="0" borderId="13" xfId="0" applyFont="1" applyBorder="1" applyProtection="1">
      <alignment vertical="center"/>
    </xf>
    <xf numFmtId="0" fontId="40" fillId="0" borderId="0" xfId="0" applyFont="1" applyFill="1" applyAlignment="1" applyProtection="1">
      <alignment horizontal="right" vertical="center"/>
    </xf>
    <xf numFmtId="176" fontId="27" fillId="0" borderId="18" xfId="0" applyNumberFormat="1" applyFont="1" applyFill="1" applyBorder="1" applyAlignment="1" applyProtection="1">
      <alignment horizontal="center" vertical="center" wrapText="1"/>
    </xf>
    <xf numFmtId="176" fontId="27" fillId="33" borderId="18" xfId="0" applyNumberFormat="1" applyFont="1" applyFill="1" applyBorder="1" applyAlignment="1" applyProtection="1">
      <alignment horizontal="center" vertical="center" wrapText="1"/>
    </xf>
    <xf numFmtId="0" fontId="78" fillId="0" borderId="0" xfId="0" applyFont="1" applyAlignment="1" applyProtection="1">
      <alignment horizontal="right" vertical="center"/>
    </xf>
    <xf numFmtId="178" fontId="79" fillId="0" borderId="0" xfId="0" applyNumberFormat="1" applyFont="1" applyBorder="1" applyAlignment="1" applyProtection="1">
      <alignment horizontal="right" vertical="top"/>
    </xf>
    <xf numFmtId="0" fontId="62" fillId="35" borderId="28" xfId="0" applyFont="1" applyFill="1" applyBorder="1" applyAlignment="1" applyProtection="1">
      <alignment horizontal="center" vertical="center" wrapText="1"/>
      <protection locked="0"/>
    </xf>
    <xf numFmtId="0" fontId="62" fillId="35" borderId="106" xfId="0" applyFont="1" applyFill="1" applyBorder="1" applyAlignment="1" applyProtection="1">
      <alignment horizontal="center" vertical="center" wrapText="1"/>
      <protection locked="0"/>
    </xf>
    <xf numFmtId="177" fontId="27" fillId="33" borderId="10" xfId="0" applyNumberFormat="1" applyFont="1" applyFill="1" applyBorder="1" applyAlignment="1" applyProtection="1">
      <alignment horizontal="center" vertical="center" shrinkToFit="1"/>
    </xf>
    <xf numFmtId="0" fontId="20" fillId="0" borderId="18"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20" fillId="35" borderId="12" xfId="0" applyFont="1" applyFill="1" applyBorder="1" applyAlignment="1" applyProtection="1">
      <alignment vertical="center"/>
      <protection locked="0"/>
    </xf>
    <xf numFmtId="0" fontId="20" fillId="35" borderId="11" xfId="0" applyFont="1" applyFill="1" applyBorder="1" applyAlignment="1" applyProtection="1">
      <alignmen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xf>
    <xf numFmtId="180" fontId="20" fillId="0" borderId="108" xfId="0" applyNumberFormat="1" applyFont="1" applyBorder="1" applyAlignment="1" applyProtection="1">
      <alignment horizontal="right" vertical="center"/>
    </xf>
    <xf numFmtId="180" fontId="20" fillId="0" borderId="109" xfId="0" applyNumberFormat="1" applyFont="1" applyBorder="1" applyAlignment="1" applyProtection="1">
      <alignment horizontal="right" vertical="center"/>
    </xf>
    <xf numFmtId="180" fontId="20" fillId="0" borderId="110" xfId="0" applyNumberFormat="1" applyFont="1" applyBorder="1" applyAlignment="1" applyProtection="1">
      <alignment horizontal="right" vertical="center"/>
    </xf>
    <xf numFmtId="180" fontId="20" fillId="38" borderId="14" xfId="0" applyNumberFormat="1" applyFont="1" applyFill="1" applyBorder="1" applyAlignment="1" applyProtection="1">
      <alignment horizontal="right" vertical="center"/>
    </xf>
    <xf numFmtId="180" fontId="20" fillId="38" borderId="25" xfId="0" applyNumberFormat="1" applyFont="1" applyFill="1" applyBorder="1" applyAlignment="1" applyProtection="1">
      <alignment horizontal="right" vertical="center"/>
    </xf>
    <xf numFmtId="180" fontId="20" fillId="38" borderId="17" xfId="0" applyNumberFormat="1" applyFont="1" applyFill="1" applyBorder="1" applyAlignment="1" applyProtection="1">
      <alignment horizontal="right" vertical="center"/>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4" fillId="35" borderId="46" xfId="0" applyFont="1" applyFill="1" applyBorder="1" applyAlignment="1" applyProtection="1">
      <alignment horizontal="center" vertical="center" shrinkToFit="1"/>
      <protection locked="0"/>
    </xf>
    <xf numFmtId="0" fontId="69" fillId="0" borderId="0" xfId="0" applyFont="1" applyAlignment="1" applyProtection="1">
      <alignment horizontal="left" vertical="center" indent="7"/>
    </xf>
    <xf numFmtId="0" fontId="69" fillId="0" borderId="0" xfId="0" applyFont="1" applyFill="1" applyAlignment="1" applyProtection="1">
      <alignment horizontal="left" vertical="center" shrinkToFit="1"/>
    </xf>
    <xf numFmtId="0" fontId="69" fillId="0" borderId="0" xfId="0" applyFont="1" applyAlignment="1" applyProtection="1">
      <alignment horizontal="left" vertical="top" indent="7"/>
    </xf>
    <xf numFmtId="185" fontId="69" fillId="0" borderId="0" xfId="0" applyNumberFormat="1" applyFont="1" applyFill="1" applyAlignment="1" applyProtection="1">
      <alignment horizontal="left" vertical="center" shrinkToFit="1"/>
    </xf>
    <xf numFmtId="0" fontId="68" fillId="0" borderId="0" xfId="0" applyFont="1" applyAlignment="1" applyProtection="1">
      <alignment horizontal="left" vertical="top" wrapText="1"/>
    </xf>
    <xf numFmtId="176" fontId="24" fillId="35" borderId="80" xfId="0" applyNumberFormat="1" applyFont="1" applyFill="1" applyBorder="1" applyAlignment="1" applyProtection="1">
      <alignment horizontal="center" vertical="center" wrapText="1"/>
      <protection locked="0"/>
    </xf>
    <xf numFmtId="176" fontId="24" fillId="35" borderId="81" xfId="0" applyNumberFormat="1" applyFont="1" applyFill="1" applyBorder="1" applyAlignment="1" applyProtection="1">
      <alignment horizontal="center" vertical="center" wrapText="1"/>
      <protection locked="0"/>
    </xf>
    <xf numFmtId="176" fontId="22" fillId="0" borderId="88" xfId="0" applyNumberFormat="1" applyFont="1" applyFill="1" applyBorder="1" applyAlignment="1" applyProtection="1">
      <alignment horizontal="left" vertical="top" wrapText="1"/>
    </xf>
    <xf numFmtId="176" fontId="22" fillId="0" borderId="85" xfId="0" applyNumberFormat="1" applyFont="1" applyFill="1" applyBorder="1" applyAlignment="1" applyProtection="1">
      <alignment horizontal="left" vertical="top" wrapText="1"/>
    </xf>
    <xf numFmtId="0" fontId="55" fillId="0" borderId="18" xfId="0" applyFont="1" applyBorder="1" applyAlignment="1" applyProtection="1">
      <alignment horizontal="left" vertical="center" wrapText="1"/>
    </xf>
    <xf numFmtId="0" fontId="55" fillId="0" borderId="105" xfId="0" applyFont="1" applyBorder="1" applyAlignment="1" applyProtection="1">
      <alignment horizontal="left" vertical="center" wrapText="1"/>
    </xf>
    <xf numFmtId="0" fontId="55" fillId="0" borderId="24" xfId="0" applyFont="1" applyBorder="1" applyAlignment="1" applyProtection="1">
      <alignment horizontal="left" vertical="center" wrapText="1"/>
    </xf>
    <xf numFmtId="0" fontId="55" fillId="0" borderId="62" xfId="0" applyFont="1" applyBorder="1" applyAlignment="1" applyProtection="1">
      <alignment horizontal="left" vertical="center" wrapText="1"/>
    </xf>
    <xf numFmtId="0" fontId="22" fillId="35" borderId="44" xfId="0" applyFont="1" applyFill="1" applyBorder="1" applyAlignment="1" applyProtection="1">
      <alignment horizontal="left" vertical="center" wrapText="1" shrinkToFit="1"/>
      <protection locked="0"/>
    </xf>
    <xf numFmtId="0" fontId="22" fillId="35" borderId="46" xfId="0" applyFont="1" applyFill="1" applyBorder="1" applyAlignment="1" applyProtection="1">
      <alignment horizontal="left" vertical="center" wrapText="1" shrinkToFit="1"/>
      <protection locked="0"/>
    </xf>
    <xf numFmtId="0" fontId="22" fillId="0" borderId="49" xfId="0" applyFont="1" applyFill="1" applyBorder="1" applyAlignment="1" applyProtection="1">
      <alignment vertical="center" wrapText="1" shrinkToFit="1"/>
    </xf>
    <xf numFmtId="0" fontId="22" fillId="0" borderId="45" xfId="0" applyFont="1" applyFill="1" applyBorder="1" applyAlignment="1" applyProtection="1">
      <alignment vertical="center" wrapText="1" shrinkToFit="1"/>
    </xf>
    <xf numFmtId="0" fontId="22" fillId="0" borderId="57" xfId="0" applyFont="1" applyFill="1" applyBorder="1" applyAlignment="1" applyProtection="1">
      <alignment vertical="center" wrapText="1" shrinkToFi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4" fillId="0" borderId="25" xfId="0" applyFont="1" applyFill="1" applyBorder="1" applyAlignment="1" applyProtection="1">
      <alignment horizontal="left" vertical="center" wrapText="1"/>
    </xf>
    <xf numFmtId="0" fontId="24" fillId="0" borderId="22"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3" xfId="0" applyFont="1" applyFill="1" applyBorder="1" applyAlignment="1" applyProtection="1">
      <alignment horizontal="left" vertical="center" wrapText="1"/>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0" fontId="55" fillId="0" borderId="0" xfId="0" applyFont="1" applyAlignment="1" applyProtection="1">
      <alignment horizontal="justify"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67" fillId="0" borderId="0" xfId="0" applyFont="1" applyAlignment="1" applyProtection="1">
      <alignment horizontal="center" vertical="center"/>
    </xf>
    <xf numFmtId="58" fontId="68" fillId="0" borderId="0" xfId="0" applyNumberFormat="1" applyFont="1" applyFill="1" applyBorder="1" applyAlignment="1" applyProtection="1">
      <alignment horizontal="right" vertical="center" indent="1"/>
    </xf>
    <xf numFmtId="0" fontId="69" fillId="0" borderId="0" xfId="0" applyFont="1" applyFill="1" applyAlignment="1" applyProtection="1">
      <alignment horizontal="left" wrapText="1" shrinkToFit="1"/>
    </xf>
    <xf numFmtId="0" fontId="69" fillId="0" borderId="0" xfId="0" applyFont="1" applyAlignment="1" applyProtection="1">
      <alignment horizontal="left" indent="7"/>
    </xf>
    <xf numFmtId="0" fontId="69" fillId="0" borderId="0" xfId="0" applyFont="1" applyFill="1" applyAlignment="1" applyProtection="1">
      <alignment horizontal="left" shrinkToFit="1"/>
    </xf>
    <xf numFmtId="0" fontId="23" fillId="0" borderId="14"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0" fontId="30" fillId="0" borderId="62"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62" xfId="0" applyFont="1" applyFill="1" applyBorder="1" applyAlignment="1" applyProtection="1">
      <alignment horizontal="left" vertical="center" wrapText="1"/>
    </xf>
    <xf numFmtId="0" fontId="30" fillId="0" borderId="12" xfId="0" applyFont="1" applyBorder="1" applyAlignment="1" applyProtection="1">
      <alignment horizontal="left" vertical="center"/>
    </xf>
    <xf numFmtId="0" fontId="30" fillId="0" borderId="62" xfId="0" applyFont="1" applyBorder="1" applyAlignment="1" applyProtection="1">
      <alignment horizontal="left" vertical="center"/>
    </xf>
    <xf numFmtId="0" fontId="22" fillId="35" borderId="45"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shrinkToFit="1"/>
    </xf>
    <xf numFmtId="0" fontId="25" fillId="0" borderId="0" xfId="0" applyFont="1" applyAlignment="1" applyProtection="1">
      <alignment horizontal="justify" wrapText="1"/>
    </xf>
    <xf numFmtId="0" fontId="55" fillId="0" borderId="0" xfId="0" applyFont="1" applyAlignment="1" applyProtection="1">
      <alignment horizontal="justify" vertical="center" wrapText="1"/>
    </xf>
    <xf numFmtId="0" fontId="47" fillId="0" borderId="18" xfId="0" applyFont="1" applyFill="1" applyBorder="1" applyAlignment="1" applyProtection="1">
      <alignment horizontal="center" vertical="center" textRotation="255" wrapText="1"/>
    </xf>
    <xf numFmtId="0" fontId="47" fillId="0" borderId="19" xfId="0" applyFont="1" applyFill="1" applyBorder="1" applyAlignment="1" applyProtection="1">
      <alignment horizontal="center" vertical="center" textRotation="255" wrapText="1"/>
    </xf>
    <xf numFmtId="0" fontId="47" fillId="0" borderId="20" xfId="0" applyFont="1" applyFill="1" applyBorder="1" applyAlignment="1" applyProtection="1">
      <alignment horizontal="center" vertical="center" textRotation="255" wrapText="1"/>
    </xf>
    <xf numFmtId="0" fontId="24" fillId="0" borderId="18"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176" fontId="24" fillId="33" borderId="14" xfId="0" applyNumberFormat="1" applyFont="1" applyFill="1" applyBorder="1" applyAlignment="1" applyProtection="1">
      <alignment horizontal="center" vertical="center" wrapText="1"/>
    </xf>
    <xf numFmtId="176" fontId="24" fillId="33" borderId="25" xfId="0" applyNumberFormat="1" applyFont="1" applyFill="1" applyBorder="1" applyAlignment="1" applyProtection="1">
      <alignment horizontal="center" vertical="center" wrapText="1"/>
    </xf>
    <xf numFmtId="176" fontId="24" fillId="33" borderId="17" xfId="0" applyNumberFormat="1" applyFont="1" applyFill="1" applyBorder="1" applyAlignment="1" applyProtection="1">
      <alignment horizontal="center" vertical="center" wrapText="1"/>
    </xf>
    <xf numFmtId="0" fontId="22" fillId="0" borderId="45" xfId="0" applyFont="1" applyFill="1" applyBorder="1" applyAlignment="1" applyProtection="1">
      <alignment horizontal="left" vertical="center" wrapText="1" shrinkToFit="1"/>
    </xf>
    <xf numFmtId="0" fontId="22" fillId="0" borderId="57" xfId="0" applyFont="1" applyFill="1" applyBorder="1" applyAlignment="1" applyProtection="1">
      <alignment horizontal="left" vertical="center" wrapText="1" shrinkToFit="1"/>
    </xf>
    <xf numFmtId="176" fontId="24" fillId="33" borderId="10" xfId="0" applyNumberFormat="1" applyFont="1" applyFill="1" applyBorder="1" applyAlignment="1" applyProtection="1">
      <alignment horizontal="center" vertical="center" wrapText="1"/>
    </xf>
    <xf numFmtId="176" fontId="24" fillId="0" borderId="19" xfId="0" applyNumberFormat="1"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94" xfId="0"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16"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79" xfId="0" applyFont="1" applyFill="1" applyBorder="1" applyAlignment="1" applyProtection="1">
      <alignment horizontal="center" vertical="center" wrapText="1"/>
      <protection locked="0"/>
    </xf>
    <xf numFmtId="0" fontId="24" fillId="36" borderId="82"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wrapText="1"/>
    </xf>
    <xf numFmtId="0" fontId="55" fillId="0" borderId="24" xfId="0" applyFont="1" applyBorder="1" applyAlignment="1" applyProtection="1">
      <alignment horizontal="center" vertical="center" wrapText="1"/>
    </xf>
    <xf numFmtId="0" fontId="55" fillId="0" borderId="24" xfId="0" applyFont="1" applyBorder="1" applyAlignment="1" applyProtection="1">
      <alignment horizontal="center" vertical="center"/>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right" vertical="center" wrapText="1"/>
    </xf>
    <xf numFmtId="0" fontId="54" fillId="0" borderId="14" xfId="0" applyFont="1" applyBorder="1" applyAlignment="1" applyProtection="1">
      <alignment horizontal="left" vertical="center"/>
    </xf>
    <xf numFmtId="0" fontId="54" fillId="0" borderId="16" xfId="0" applyFont="1" applyBorder="1" applyAlignment="1" applyProtection="1">
      <alignment horizontal="left" vertical="center"/>
    </xf>
    <xf numFmtId="0" fontId="54" fillId="0" borderId="24" xfId="0" applyFont="1" applyBorder="1" applyAlignment="1" applyProtection="1">
      <alignment horizontal="center" vertical="center"/>
    </xf>
    <xf numFmtId="0" fontId="54" fillId="0" borderId="11" xfId="0" applyFont="1" applyBorder="1" applyAlignment="1" applyProtection="1">
      <alignment horizontal="left"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25" fillId="0" borderId="23" xfId="0" applyFont="1" applyBorder="1" applyAlignment="1" applyProtection="1">
      <alignment horizontal="right" vertical="center" wrapText="1"/>
    </xf>
    <xf numFmtId="181" fontId="20" fillId="0" borderId="18" xfId="0" applyNumberFormat="1" applyFont="1" applyBorder="1" applyAlignment="1" applyProtection="1">
      <alignment horizontal="right" vertical="center"/>
    </xf>
    <xf numFmtId="181" fontId="20" fillId="0" borderId="55" xfId="0" applyNumberFormat="1" applyFont="1" applyBorder="1" applyAlignment="1" applyProtection="1">
      <alignment horizontal="right" vertical="center"/>
    </xf>
    <xf numFmtId="180" fontId="20" fillId="38" borderId="61" xfId="0" applyNumberFormat="1" applyFont="1" applyFill="1" applyBorder="1" applyAlignment="1" applyProtection="1">
      <alignment horizontal="right" vertical="center"/>
    </xf>
    <xf numFmtId="180" fontId="20" fillId="38" borderId="115" xfId="0" applyNumberFormat="1" applyFont="1" applyFill="1" applyBorder="1" applyAlignment="1" applyProtection="1">
      <alignment horizontal="right" vertical="center"/>
    </xf>
    <xf numFmtId="180" fontId="20" fillId="38" borderId="116" xfId="0" applyNumberFormat="1" applyFont="1" applyFill="1" applyBorder="1" applyAlignment="1" applyProtection="1">
      <alignment horizontal="right" vertical="center"/>
    </xf>
    <xf numFmtId="0" fontId="55" fillId="0" borderId="103" xfId="0" applyFont="1" applyFill="1" applyBorder="1" applyAlignment="1" applyProtection="1">
      <alignment horizontal="left" vertical="center" wrapText="1"/>
    </xf>
    <xf numFmtId="0" fontId="55" fillId="0" borderId="104" xfId="0" applyFont="1" applyFill="1" applyBorder="1" applyAlignment="1" applyProtection="1">
      <alignment horizontal="left" vertical="center" wrapText="1"/>
    </xf>
    <xf numFmtId="0" fontId="55" fillId="0" borderId="74" xfId="0" applyFont="1" applyBorder="1" applyAlignment="1" applyProtection="1">
      <alignment horizontal="left" vertical="center" wrapText="1"/>
    </xf>
    <xf numFmtId="0" fontId="55" fillId="0" borderId="86" xfId="0" applyFont="1" applyBorder="1" applyAlignment="1" applyProtection="1">
      <alignment horizontal="left" vertical="center" wrapText="1"/>
    </xf>
    <xf numFmtId="0" fontId="55" fillId="0" borderId="75" xfId="0" applyFont="1" applyBorder="1" applyAlignment="1" applyProtection="1">
      <alignment horizontal="left" vertical="center" wrapText="1"/>
    </xf>
    <xf numFmtId="180" fontId="20" fillId="38" borderId="49" xfId="0" applyNumberFormat="1" applyFont="1" applyFill="1" applyBorder="1" applyAlignment="1" applyProtection="1">
      <alignment horizontal="right" vertical="center"/>
    </xf>
    <xf numFmtId="180" fontId="20" fillId="38" borderId="57" xfId="0" applyNumberFormat="1" applyFont="1" applyFill="1" applyBorder="1" applyAlignment="1" applyProtection="1">
      <alignment horizontal="right" vertical="center"/>
    </xf>
    <xf numFmtId="180" fontId="20" fillId="38" borderId="45" xfId="0" applyNumberFormat="1" applyFont="1" applyFill="1" applyBorder="1" applyAlignment="1" applyProtection="1">
      <alignment horizontal="right" vertical="center"/>
    </xf>
    <xf numFmtId="180" fontId="20" fillId="38" borderId="46" xfId="0" applyNumberFormat="1" applyFont="1" applyFill="1" applyBorder="1" applyAlignment="1" applyProtection="1">
      <alignment horizontal="right" vertical="center"/>
    </xf>
    <xf numFmtId="0" fontId="20" fillId="0" borderId="18" xfId="0" applyFont="1" applyBorder="1" applyAlignment="1" applyProtection="1">
      <alignment horizontal="right" vertical="center"/>
    </xf>
    <xf numFmtId="0" fontId="20" fillId="0" borderId="20" xfId="0" applyFont="1" applyBorder="1" applyAlignment="1" applyProtection="1">
      <alignment horizontal="right" vertical="center"/>
    </xf>
    <xf numFmtId="0" fontId="20" fillId="0" borderId="19" xfId="0" applyFont="1" applyBorder="1" applyAlignment="1" applyProtection="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22"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23"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4"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176" fontId="27" fillId="33" borderId="18" xfId="0" applyNumberFormat="1" applyFont="1" applyFill="1" applyBorder="1" applyAlignment="1" applyProtection="1">
      <alignment horizontal="center" vertical="center" wrapText="1"/>
    </xf>
    <xf numFmtId="176" fontId="27" fillId="33" borderId="20" xfId="0" applyNumberFormat="1" applyFont="1" applyFill="1" applyBorder="1" applyAlignment="1" applyProtection="1">
      <alignment horizontal="center" vertical="center" wrapText="1"/>
    </xf>
    <xf numFmtId="0" fontId="38" fillId="0" borderId="72" xfId="0" applyFont="1" applyFill="1" applyBorder="1" applyAlignment="1" applyProtection="1">
      <alignment horizontal="center" vertical="center" textRotation="255"/>
    </xf>
    <xf numFmtId="0" fontId="38" fillId="0" borderId="76" xfId="0" applyFont="1" applyFill="1" applyBorder="1" applyAlignment="1" applyProtection="1">
      <alignment horizontal="center" vertical="center" textRotation="255"/>
    </xf>
    <xf numFmtId="0" fontId="38" fillId="0" borderId="77" xfId="0" applyFont="1" applyFill="1" applyBorder="1" applyAlignment="1" applyProtection="1">
      <alignment horizontal="center" vertical="center" textRotation="255"/>
    </xf>
    <xf numFmtId="0" fontId="38" fillId="0" borderId="10" xfId="0" applyFont="1" applyFill="1" applyBorder="1" applyAlignment="1" applyProtection="1">
      <alignment horizontal="center" vertical="center" textRotation="255"/>
    </xf>
    <xf numFmtId="0" fontId="38" fillId="0" borderId="12" xfId="0" applyFont="1" applyFill="1" applyBorder="1" applyAlignment="1" applyProtection="1">
      <alignment horizontal="center" vertical="center" textRotation="255"/>
    </xf>
    <xf numFmtId="0" fontId="49" fillId="0" borderId="24" xfId="0" applyFont="1" applyFill="1" applyBorder="1" applyAlignment="1" applyProtection="1">
      <alignment horizontal="center" vertical="center" wrapText="1" shrinkToFit="1"/>
    </xf>
    <xf numFmtId="0" fontId="49" fillId="0" borderId="23" xfId="0" applyFont="1" applyFill="1" applyBorder="1" applyAlignment="1" applyProtection="1">
      <alignment horizontal="center" vertical="center" wrapText="1" shrinkToFit="1"/>
    </xf>
    <xf numFmtId="176" fontId="27" fillId="33" borderId="73" xfId="0" applyNumberFormat="1" applyFont="1" applyFill="1" applyBorder="1" applyAlignment="1" applyProtection="1">
      <alignment horizontal="center" vertical="center" wrapText="1"/>
    </xf>
    <xf numFmtId="176" fontId="27" fillId="33" borderId="19" xfId="0" applyNumberFormat="1" applyFont="1" applyFill="1" applyBorder="1" applyAlignment="1" applyProtection="1">
      <alignment horizontal="center" vertical="center" wrapText="1"/>
    </xf>
    <xf numFmtId="176" fontId="27" fillId="33" borderId="17" xfId="0" applyNumberFormat="1" applyFont="1" applyFill="1" applyBorder="1" applyAlignment="1" applyProtection="1">
      <alignment horizontal="center" vertical="center" wrapText="1"/>
    </xf>
    <xf numFmtId="0" fontId="27" fillId="0" borderId="12" xfId="0" applyFont="1" applyBorder="1" applyAlignment="1" applyProtection="1">
      <alignment horizontal="left" vertical="center" wrapText="1"/>
    </xf>
    <xf numFmtId="0" fontId="27" fillId="0" borderId="24" xfId="0" applyFont="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71"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55" fillId="0" borderId="14" xfId="0" applyFont="1" applyFill="1" applyBorder="1" applyAlignment="1" applyProtection="1">
      <alignment horizontal="left" vertical="center" wrapText="1"/>
    </xf>
    <xf numFmtId="0" fontId="55" fillId="0" borderId="24" xfId="0" applyFont="1" applyFill="1" applyBorder="1" applyAlignment="1" applyProtection="1">
      <alignment horizontal="left" vertical="center" wrapText="1"/>
    </xf>
    <xf numFmtId="0" fontId="55" fillId="0" borderId="62" xfId="0" applyFont="1" applyFill="1" applyBorder="1" applyAlignment="1" applyProtection="1">
      <alignment horizontal="left" vertical="center" wrapText="1"/>
    </xf>
    <xf numFmtId="0" fontId="55" fillId="0" borderId="12" xfId="0" applyFont="1" applyFill="1" applyBorder="1" applyAlignment="1" applyProtection="1">
      <alignment horizontal="left" vertical="center" wrapText="1"/>
    </xf>
    <xf numFmtId="0" fontId="55" fillId="0" borderId="25" xfId="0" applyFont="1" applyFill="1" applyBorder="1" applyAlignment="1" applyProtection="1">
      <alignment horizontal="left" vertical="center" wrapText="1"/>
    </xf>
    <xf numFmtId="0" fontId="55" fillId="0" borderId="21" xfId="0" applyFont="1" applyFill="1" applyBorder="1" applyAlignment="1" applyProtection="1">
      <alignment horizontal="left" vertical="center" wrapText="1"/>
    </xf>
    <xf numFmtId="0" fontId="55" fillId="0" borderId="71" xfId="0" applyFont="1" applyFill="1" applyBorder="1" applyAlignment="1" applyProtection="1">
      <alignment horizontal="left" vertical="center" wrapText="1"/>
    </xf>
    <xf numFmtId="177" fontId="27" fillId="0" borderId="107" xfId="0" applyNumberFormat="1" applyFont="1" applyFill="1" applyBorder="1" applyAlignment="1" applyProtection="1">
      <alignment horizontal="left" vertical="center" wrapText="1"/>
    </xf>
    <xf numFmtId="177" fontId="27" fillId="0" borderId="18" xfId="0" applyNumberFormat="1" applyFont="1" applyFill="1" applyBorder="1" applyAlignment="1" applyProtection="1">
      <alignment horizontal="left" vertical="center" wrapText="1"/>
    </xf>
    <xf numFmtId="176" fontId="27" fillId="0" borderId="73" xfId="0" applyNumberFormat="1" applyFont="1" applyBorder="1" applyAlignment="1" applyProtection="1">
      <alignment horizontal="center" vertical="center" wrapText="1"/>
    </xf>
    <xf numFmtId="176" fontId="27" fillId="0" borderId="19" xfId="0" applyNumberFormat="1" applyFont="1" applyBorder="1" applyAlignment="1" applyProtection="1">
      <alignment horizontal="center" vertical="center" wrapText="1"/>
    </xf>
    <xf numFmtId="176" fontId="27" fillId="0" borderId="20" xfId="0" applyNumberFormat="1" applyFont="1" applyBorder="1" applyAlignment="1" applyProtection="1">
      <alignment horizontal="center" vertical="center" wrapText="1"/>
    </xf>
    <xf numFmtId="0" fontId="25" fillId="0" borderId="20" xfId="0" applyFont="1" applyFill="1" applyBorder="1" applyAlignment="1" applyProtection="1">
      <alignment horizontal="left" vertical="center" wrapText="1"/>
    </xf>
    <xf numFmtId="0" fontId="23" fillId="0" borderId="10" xfId="0" applyFont="1" applyBorder="1" applyAlignment="1" applyProtection="1">
      <alignment horizontal="center" vertical="center" wrapText="1"/>
    </xf>
    <xf numFmtId="0" fontId="27" fillId="0" borderId="73" xfId="0" applyFont="1" applyBorder="1" applyAlignment="1" applyProtection="1">
      <alignment horizontal="left" wrapText="1"/>
    </xf>
    <xf numFmtId="0" fontId="27" fillId="0" borderId="19" xfId="0" applyFont="1" applyBorder="1" applyAlignment="1" applyProtection="1">
      <alignment horizontal="left" wrapText="1"/>
    </xf>
    <xf numFmtId="0" fontId="27" fillId="0" borderId="20" xfId="0" applyFont="1" applyBorder="1" applyAlignment="1" applyProtection="1">
      <alignment horizontal="left" wrapText="1"/>
    </xf>
    <xf numFmtId="0" fontId="27" fillId="0" borderId="2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25" fillId="36" borderId="91"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2" xfId="0" applyFont="1" applyFill="1" applyBorder="1" applyAlignment="1" applyProtection="1">
      <alignment horizontal="left" vertical="center" wrapText="1"/>
      <protection locked="0"/>
    </xf>
    <xf numFmtId="0" fontId="25" fillId="0" borderId="12" xfId="0" applyFont="1" applyBorder="1" applyAlignment="1" applyProtection="1">
      <alignment horizontal="left" vertical="center" wrapText="1"/>
    </xf>
    <xf numFmtId="0" fontId="25" fillId="0" borderId="24" xfId="0" applyFont="1" applyBorder="1" applyAlignment="1" applyProtection="1">
      <alignment horizontal="left" vertical="center" wrapText="1"/>
    </xf>
    <xf numFmtId="0" fontId="38" fillId="0" borderId="18" xfId="0" applyFont="1" applyBorder="1" applyAlignment="1" applyProtection="1">
      <alignment horizontal="center" vertical="center" textRotation="255"/>
    </xf>
    <xf numFmtId="0" fontId="38" fillId="0" borderId="19" xfId="0" applyFont="1" applyBorder="1" applyAlignment="1" applyProtection="1">
      <alignment horizontal="center" vertical="center" textRotation="255"/>
    </xf>
    <xf numFmtId="0" fontId="38" fillId="0" borderId="25" xfId="0" applyFont="1" applyBorder="1" applyAlignment="1" applyProtection="1">
      <alignment horizontal="center" vertical="center" textRotation="255"/>
    </xf>
    <xf numFmtId="177" fontId="24" fillId="33" borderId="18" xfId="0" applyNumberFormat="1" applyFont="1" applyFill="1" applyBorder="1" applyAlignment="1" applyProtection="1">
      <alignment horizontal="center" vertical="center" wrapText="1"/>
    </xf>
    <xf numFmtId="177" fontId="24" fillId="33" borderId="19"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49" fontId="30" fillId="35" borderId="30" xfId="0" quotePrefix="1" applyNumberFormat="1" applyFont="1" applyFill="1" applyBorder="1" applyAlignment="1" applyProtection="1">
      <alignment horizontal="center" vertical="center" wrapText="1"/>
      <protection locked="0"/>
    </xf>
    <xf numFmtId="49" fontId="30" fillId="35" borderId="50" xfId="0" quotePrefix="1" applyNumberFormat="1" applyFont="1" applyFill="1" applyBorder="1" applyAlignment="1" applyProtection="1">
      <alignment horizontal="center" vertical="center" wrapText="1"/>
      <protection locked="0"/>
    </xf>
    <xf numFmtId="0" fontId="54" fillId="0" borderId="96" xfId="0" applyFont="1" applyFill="1" applyBorder="1" applyAlignment="1" applyProtection="1">
      <alignment horizontal="center" vertical="center" wrapText="1"/>
    </xf>
    <xf numFmtId="0" fontId="54" fillId="0" borderId="98" xfId="0" applyFont="1" applyFill="1" applyBorder="1" applyAlignment="1" applyProtection="1">
      <alignment horizontal="center" vertical="center" wrapText="1"/>
    </xf>
    <xf numFmtId="0" fontId="29" fillId="0" borderId="96" xfId="0" applyFont="1" applyFill="1" applyBorder="1" applyAlignment="1" applyProtection="1">
      <alignment horizontal="right" vertical="center" wrapText="1"/>
    </xf>
    <xf numFmtId="0" fontId="29" fillId="0" borderId="50" xfId="0" applyFont="1" applyFill="1" applyBorder="1" applyAlignment="1" applyProtection="1">
      <alignment horizontal="righ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7" fillId="0" borderId="12" xfId="0" quotePrefix="1" applyFont="1" applyBorder="1" applyAlignment="1" applyProtection="1">
      <alignment horizontal="left" vertical="center" wrapText="1"/>
    </xf>
    <xf numFmtId="0" fontId="27" fillId="0" borderId="24" xfId="0" quotePrefix="1" applyFont="1" applyBorder="1" applyAlignment="1" applyProtection="1">
      <alignment horizontal="left" vertical="center" wrapText="1"/>
    </xf>
    <xf numFmtId="0" fontId="23" fillId="0" borderId="10" xfId="0" applyFont="1" applyFill="1" applyBorder="1" applyAlignment="1" applyProtection="1">
      <alignment horizontal="center" vertical="center" wrapText="1"/>
    </xf>
    <xf numFmtId="0" fontId="30" fillId="0" borderId="89" xfId="0" applyFont="1" applyBorder="1" applyAlignment="1" applyProtection="1">
      <alignment horizontal="center" vertical="center"/>
    </xf>
    <xf numFmtId="0" fontId="30" fillId="0" borderId="93" xfId="0" applyFont="1" applyBorder="1" applyAlignment="1" applyProtection="1">
      <alignment horizontal="center" vertical="center"/>
    </xf>
    <xf numFmtId="0" fontId="30" fillId="0" borderId="90" xfId="0" applyFont="1" applyBorder="1" applyAlignment="1" applyProtection="1">
      <alignment horizontal="center" vertical="center"/>
    </xf>
    <xf numFmtId="0" fontId="24" fillId="36" borderId="83" xfId="0" applyFont="1" applyFill="1" applyBorder="1" applyAlignment="1" applyProtection="1">
      <alignment horizontal="center" vertical="center" wrapText="1"/>
      <protection locked="0"/>
    </xf>
    <xf numFmtId="0" fontId="24" fillId="36" borderId="84" xfId="0" applyFont="1" applyFill="1" applyBorder="1" applyAlignment="1" applyProtection="1">
      <alignment horizontal="center" vertical="center" wrapText="1"/>
      <protection locked="0"/>
    </xf>
    <xf numFmtId="0" fontId="24" fillId="36" borderId="85" xfId="0" applyFont="1" applyFill="1" applyBorder="1" applyAlignment="1" applyProtection="1">
      <alignment horizontal="center" vertical="center" wrapText="1"/>
      <protection locked="0"/>
    </xf>
    <xf numFmtId="0" fontId="55" fillId="0" borderId="17" xfId="0"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24" fillId="0" borderId="62" xfId="0" applyFont="1" applyBorder="1" applyAlignment="1" applyProtection="1">
      <alignment horizontal="left" vertical="center" wrapText="1"/>
    </xf>
    <xf numFmtId="0" fontId="24" fillId="0" borderId="14"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4" xfId="0" applyFont="1" applyFill="1" applyBorder="1" applyAlignment="1" applyProtection="1">
      <alignment vertical="center" wrapText="1"/>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3" xfId="0" applyFont="1" applyFill="1" applyBorder="1" applyAlignment="1" applyProtection="1">
      <alignmen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38" fillId="0" borderId="20" xfId="0" applyFont="1" applyBorder="1" applyAlignment="1" applyProtection="1">
      <alignment horizontal="center" vertical="center" textRotation="255"/>
    </xf>
    <xf numFmtId="0" fontId="38" fillId="0" borderId="10" xfId="0" applyFont="1" applyBorder="1" applyAlignment="1" applyProtection="1">
      <alignment horizontal="center" vertical="center" textRotation="255"/>
    </xf>
    <xf numFmtId="0" fontId="52" fillId="0" borderId="0" xfId="0" applyFont="1" applyAlignment="1" applyProtection="1">
      <alignment horizontal="justify" vertical="center" wrapText="1"/>
    </xf>
    <xf numFmtId="0" fontId="38" fillId="0" borderId="12" xfId="0" applyFont="1" applyBorder="1" applyAlignment="1" applyProtection="1">
      <alignment horizontal="center" vertical="center" textRotation="255"/>
    </xf>
    <xf numFmtId="0" fontId="24" fillId="0" borderId="10" xfId="0" applyFont="1" applyBorder="1" applyAlignment="1" applyProtection="1">
      <alignment horizontal="left" vertical="center" wrapText="1"/>
    </xf>
    <xf numFmtId="176" fontId="24" fillId="0" borderId="10" xfId="0" applyNumberFormat="1" applyFont="1" applyBorder="1" applyAlignment="1" applyProtection="1">
      <alignment horizontal="center" vertical="center" wrapText="1"/>
    </xf>
    <xf numFmtId="181" fontId="27" fillId="33" borderId="10" xfId="0" applyNumberFormat="1" applyFont="1" applyFill="1" applyBorder="1" applyAlignment="1" applyProtection="1">
      <alignment horizontal="center" vertical="center" wrapText="1" shrinkToFit="1"/>
    </xf>
    <xf numFmtId="0" fontId="25" fillId="0" borderId="11" xfId="0" applyFont="1" applyBorder="1" applyAlignment="1" applyProtection="1">
      <alignment horizontal="left" vertical="center" wrapText="1"/>
    </xf>
    <xf numFmtId="0" fontId="25" fillId="0" borderId="14"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54" fillId="0" borderId="12" xfId="0" applyFont="1" applyBorder="1" applyAlignment="1" applyProtection="1">
      <alignment horizontal="left" vertical="center"/>
    </xf>
    <xf numFmtId="0" fontId="54" fillId="0" borderId="11" xfId="0" applyFont="1" applyBorder="1" applyAlignment="1" applyProtection="1">
      <alignment horizontal="left" vertical="center"/>
    </xf>
    <xf numFmtId="0" fontId="55" fillId="0" borderId="0" xfId="0" applyFont="1" applyBorder="1" applyAlignment="1" applyProtection="1">
      <alignment horizontal="left" vertical="top" wrapText="1"/>
    </xf>
    <xf numFmtId="0" fontId="55" fillId="0" borderId="22" xfId="0" applyFont="1" applyBorder="1" applyAlignment="1" applyProtection="1">
      <alignment horizontal="left" vertical="top" wrapText="1"/>
    </xf>
    <xf numFmtId="0" fontId="55" fillId="0" borderId="23" xfId="0" applyFont="1" applyBorder="1" applyAlignment="1" applyProtection="1">
      <alignment horizontal="left" vertical="top" wrapText="1"/>
    </xf>
    <xf numFmtId="0" fontId="55" fillId="0" borderId="13" xfId="0" applyFont="1" applyBorder="1" applyAlignment="1" applyProtection="1">
      <alignment horizontal="left" vertical="top" wrapText="1"/>
    </xf>
    <xf numFmtId="176" fontId="27" fillId="33" borderId="12" xfId="0" applyNumberFormat="1" applyFont="1" applyFill="1" applyBorder="1" applyAlignment="1" applyProtection="1">
      <alignment horizontal="center" vertical="center" wrapText="1"/>
    </xf>
    <xf numFmtId="176" fontId="27" fillId="33" borderId="14" xfId="0" applyNumberFormat="1" applyFont="1" applyFill="1" applyBorder="1" applyAlignment="1" applyProtection="1">
      <alignment horizontal="center" vertical="center" wrapText="1"/>
    </xf>
    <xf numFmtId="176" fontId="27" fillId="33" borderId="87"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76" fillId="0" borderId="18" xfId="0" applyFont="1" applyBorder="1" applyAlignment="1" applyProtection="1">
      <alignment horizontal="left" wrapText="1"/>
    </xf>
    <xf numFmtId="0" fontId="76" fillId="0" borderId="19" xfId="0" applyFont="1" applyBorder="1" applyAlignment="1" applyProtection="1">
      <alignment horizontal="left" wrapText="1"/>
    </xf>
    <xf numFmtId="0" fontId="76" fillId="0" borderId="78" xfId="0" applyFont="1" applyBorder="1" applyAlignment="1" applyProtection="1">
      <alignment horizontal="left" wrapText="1"/>
    </xf>
    <xf numFmtId="176" fontId="27" fillId="0" borderId="18" xfId="0" applyNumberFormat="1" applyFont="1" applyBorder="1" applyAlignment="1" applyProtection="1">
      <alignment horizontal="center" vertical="center" wrapText="1"/>
    </xf>
    <xf numFmtId="176" fontId="27" fillId="0" borderId="78" xfId="0" applyNumberFormat="1" applyFont="1" applyBorder="1" applyAlignment="1" applyProtection="1">
      <alignment horizontal="center" vertical="center" wrapText="1"/>
    </xf>
    <xf numFmtId="0" fontId="55" fillId="0" borderId="11" xfId="0" applyFont="1" applyFill="1" applyBorder="1" applyAlignment="1" applyProtection="1">
      <alignment horizontal="left" vertical="center" wrapText="1"/>
    </xf>
    <xf numFmtId="0" fontId="25" fillId="35" borderId="91"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2" xfId="0" quotePrefix="1"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wrapText="1" shrinkToFit="1"/>
    </xf>
    <xf numFmtId="0" fontId="54" fillId="0" borderId="11" xfId="0" applyFont="1" applyBorder="1" applyAlignment="1" applyProtection="1">
      <alignment horizontal="left" vertical="center" wrapText="1" shrinkToFit="1"/>
    </xf>
    <xf numFmtId="0" fontId="24" fillId="35" borderId="91"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2" xfId="0" quotePrefix="1" applyFont="1" applyFill="1" applyBorder="1" applyAlignment="1" applyProtection="1">
      <alignment horizontal="center" vertical="center" wrapText="1"/>
      <protection locked="0"/>
    </xf>
    <xf numFmtId="0" fontId="24" fillId="0" borderId="88" xfId="0" applyFont="1" applyFill="1" applyBorder="1" applyAlignment="1" applyProtection="1">
      <alignment horizontal="center" vertical="center" wrapText="1"/>
    </xf>
    <xf numFmtId="0" fontId="24" fillId="0" borderId="84" xfId="0" applyFont="1" applyFill="1" applyBorder="1" applyAlignment="1" applyProtection="1">
      <alignment horizontal="center" vertical="center" wrapText="1"/>
    </xf>
    <xf numFmtId="0" fontId="24" fillId="0" borderId="85" xfId="0" applyFont="1" applyFill="1" applyBorder="1" applyAlignment="1" applyProtection="1">
      <alignment horizontal="center" vertical="center" wrapText="1"/>
    </xf>
    <xf numFmtId="49" fontId="30" fillId="35" borderId="98" xfId="0" quotePrefix="1" applyNumberFormat="1" applyFont="1" applyFill="1" applyBorder="1" applyAlignment="1" applyProtection="1">
      <alignment horizontal="center" vertical="center" wrapText="1"/>
      <protection locked="0"/>
    </xf>
    <xf numFmtId="49" fontId="27" fillId="35" borderId="96" xfId="0" applyNumberFormat="1" applyFont="1" applyFill="1" applyBorder="1" applyAlignment="1" applyProtection="1">
      <alignment horizontal="center" vertical="center" shrinkToFit="1"/>
      <protection locked="0"/>
    </xf>
    <xf numFmtId="49" fontId="27" fillId="35" borderId="98" xfId="0" applyNumberFormat="1" applyFont="1" applyFill="1" applyBorder="1" applyAlignment="1" applyProtection="1">
      <alignment horizontal="center" vertical="center" shrinkToFit="1"/>
      <protection locked="0"/>
    </xf>
    <xf numFmtId="49" fontId="27" fillId="35" borderId="96" xfId="0" quotePrefix="1" applyNumberFormat="1" applyFont="1" applyFill="1" applyBorder="1" applyAlignment="1" applyProtection="1">
      <alignment horizontal="center" vertical="center" shrinkToFit="1"/>
      <protection locked="0"/>
    </xf>
    <xf numFmtId="176" fontId="24" fillId="0" borderId="10" xfId="0" applyNumberFormat="1" applyFont="1" applyFill="1" applyBorder="1" applyAlignment="1" applyProtection="1">
      <alignment horizontal="center" vertical="center" wrapText="1"/>
    </xf>
    <xf numFmtId="180" fontId="20" fillId="0" borderId="117" xfId="0" applyNumberFormat="1" applyFont="1" applyBorder="1" applyAlignment="1" applyProtection="1">
      <alignment horizontal="right" vertical="center"/>
    </xf>
    <xf numFmtId="180" fontId="20" fillId="38" borderId="12" xfId="0" applyNumberFormat="1" applyFont="1" applyFill="1" applyBorder="1" applyAlignment="1" applyProtection="1">
      <alignment horizontal="right" vertical="center"/>
    </xf>
    <xf numFmtId="180" fontId="20" fillId="38" borderId="10" xfId="0" applyNumberFormat="1" applyFont="1" applyFill="1" applyBorder="1" applyAlignment="1" applyProtection="1">
      <alignment horizontal="right" vertical="center"/>
    </xf>
    <xf numFmtId="0" fontId="32" fillId="0" borderId="29" xfId="0" applyFont="1" applyBorder="1" applyAlignment="1" applyProtection="1">
      <alignment horizontal="center" vertical="center"/>
    </xf>
    <xf numFmtId="0" fontId="32" fillId="0" borderId="15" xfId="0" applyFont="1" applyBorder="1" applyAlignment="1" applyProtection="1">
      <alignment horizontal="center" vertical="center"/>
    </xf>
    <xf numFmtId="0" fontId="22" fillId="0" borderId="45" xfId="0" applyFont="1" applyFill="1" applyBorder="1" applyAlignment="1" applyProtection="1">
      <alignment horizontal="left" vertical="top" wrapText="1" shrinkToFit="1"/>
    </xf>
    <xf numFmtId="0" fontId="22" fillId="0" borderId="57" xfId="0" applyFont="1" applyFill="1" applyBorder="1" applyAlignment="1" applyProtection="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96" xfId="0" applyFont="1" applyFill="1" applyBorder="1" applyAlignment="1" applyProtection="1">
      <alignment horizontal="left" vertical="center" wrapText="1"/>
    </xf>
    <xf numFmtId="0" fontId="41" fillId="0" borderId="50" xfId="0" applyFont="1" applyFill="1" applyBorder="1" applyAlignment="1" applyProtection="1">
      <alignment horizontal="left" vertical="center" wrapText="1"/>
    </xf>
    <xf numFmtId="0" fontId="41" fillId="0" borderId="31"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144780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68580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令和４年４月１日以降に入札公告された案件に適用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５．本ファイルとは別に様式第９号、</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号が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形式でありますので、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作成して提出してください。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ＰＤＦ形式で提出→様式第１号及び様式第６～８号を提出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51406</xdr:colOff>
      <xdr:row>47</xdr:row>
      <xdr:rowOff>114300</xdr:rowOff>
    </xdr:from>
    <xdr:to>
      <xdr:col>29</xdr:col>
      <xdr:colOff>354923</xdr:colOff>
      <xdr:row>48</xdr:row>
      <xdr:rowOff>166007</xdr:rowOff>
    </xdr:to>
    <xdr:sp macro="" textlink="">
      <xdr:nvSpPr>
        <xdr:cNvPr id="5" name="テキスト ボックス 4"/>
        <xdr:cNvSpPr txBox="1"/>
      </xdr:nvSpPr>
      <xdr:spPr>
        <a:xfrm>
          <a:off x="11405206" y="13423900"/>
          <a:ext cx="5218417" cy="432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j-ea"/>
              <a:ea typeface="+mj-ea"/>
            </a:rPr>
            <a:t>※T</a:t>
          </a:r>
          <a:r>
            <a:rPr kumimoji="1" lang="ja-JP" altLang="en-US" sz="1800" b="1">
              <a:solidFill>
                <a:srgbClr val="FF0000"/>
              </a:solidFill>
              <a:latin typeface="+mj-ea"/>
              <a:ea typeface="+mj-ea"/>
            </a:rPr>
            <a:t>列以降は、計算用なので絶対に触らないこと。</a:t>
          </a:r>
        </a:p>
      </xdr:txBody>
    </xdr:sp>
    <xdr:clientData/>
  </xdr:twoCellAnchor>
  <xdr:twoCellAnchor>
    <xdr:from>
      <xdr:col>19</xdr:col>
      <xdr:colOff>217714</xdr:colOff>
      <xdr:row>49</xdr:row>
      <xdr:rowOff>29392</xdr:rowOff>
    </xdr:from>
    <xdr:to>
      <xdr:col>24</xdr:col>
      <xdr:colOff>624114</xdr:colOff>
      <xdr:row>52</xdr:row>
      <xdr:rowOff>22135</xdr:rowOff>
    </xdr:to>
    <xdr:sp macro="" textlink="">
      <xdr:nvSpPr>
        <xdr:cNvPr id="3" name="テキスト ボックス 2"/>
        <xdr:cNvSpPr txBox="1"/>
      </xdr:nvSpPr>
      <xdr:spPr>
        <a:xfrm>
          <a:off x="9348107" y="900249"/>
          <a:ext cx="5522686" cy="686707"/>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xdr:cNvSpPr txBox="1"/>
      </xdr:nvSpPr>
      <xdr:spPr>
        <a:xfrm>
          <a:off x="9858374" y="821870"/>
          <a:ext cx="7724776" cy="957262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6%20&#35201;&#32177;&#12539;&#35201;&#38936;/R05/17&#12288;202403%5e%5e_&#31119;&#23798;&#30476;&#32207;&#21512;&#35413;&#20385;&#26041;&#24335;&#23455;&#26045;&#35201;&#38936;&#12398;&#36939;&#29992;&#12395;&#12388;&#12356;&#12390;&#12288;&#9679;&#25913;&#27491;&#12304;&#20234;&#34276;&#12305;/01%20&#20803;&#12487;&#12540;&#12479;/&#9733;&#9734;07_&#12304;&#31777;&#26131;&#22411;&#12305;&#27096;&#24335;&#31532;1&#12289;6&#65374;9&#21495;&#65288;23041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基本データ(このシートは削除しないこと！)"/>
      <sheetName val="2.様式第1号、第6～8号(簡易型)"/>
      <sheetName val="様式第9号(その1)"/>
      <sheetName val="様式第9号(その2)"/>
      <sheetName val="リスト"/>
      <sheetName val="リスト2"/>
    </sheetNames>
    <sheetDataSet>
      <sheetData sheetId="0">
        <row r="12">
          <cell r="H12" t="str">
            <v>項目②：入札公告等の内容を入力</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showGridLines="0" view="pageBreakPreview" zoomScale="60" zoomScaleNormal="60" workbookViewId="0">
      <selection activeCell="D16" sqref="D16:E16"/>
    </sheetView>
  </sheetViews>
  <sheetFormatPr defaultColWidth="9" defaultRowHeight="13.2" x14ac:dyDescent="0.2"/>
  <cols>
    <col min="1" max="1" width="2" style="18" customWidth="1"/>
    <col min="2" max="2" width="2.44140625" style="18" customWidth="1"/>
    <col min="3" max="3" width="30.109375" style="18" customWidth="1"/>
    <col min="4" max="5" width="22.33203125" style="18" customWidth="1"/>
    <col min="6" max="6" width="41.77734375" style="18" customWidth="1"/>
    <col min="7" max="7" width="10.44140625" style="18" customWidth="1"/>
    <col min="8" max="8" width="39.44140625" style="18" customWidth="1"/>
    <col min="9" max="9" width="15.109375" style="18" customWidth="1"/>
    <col min="10" max="10" width="17.21875" style="18" customWidth="1"/>
    <col min="11" max="11" width="13.33203125" style="18" customWidth="1"/>
    <col min="12" max="12" width="15.33203125" style="18" customWidth="1"/>
    <col min="13" max="14" width="9.88671875" style="18" customWidth="1"/>
    <col min="15" max="15" width="27.44140625" style="18" customWidth="1"/>
    <col min="16" max="16" width="9" style="18"/>
    <col min="17" max="17" width="16.88671875" style="18" bestFit="1" customWidth="1"/>
    <col min="18" max="16384" width="9" style="18"/>
  </cols>
  <sheetData>
    <row r="1" spans="1:15" ht="20.100000000000001" customHeight="1" x14ac:dyDescent="0.2">
      <c r="A1" s="31"/>
      <c r="B1" s="31"/>
      <c r="C1" s="327" t="s">
        <v>414</v>
      </c>
      <c r="D1" s="327"/>
      <c r="E1" s="327"/>
      <c r="F1" s="327"/>
      <c r="G1" s="31"/>
      <c r="H1" s="31" t="s">
        <v>453</v>
      </c>
      <c r="I1" s="31"/>
      <c r="J1" s="31"/>
      <c r="K1" s="31"/>
      <c r="L1" s="31"/>
      <c r="M1" s="31"/>
      <c r="N1" s="31"/>
      <c r="O1" s="31"/>
    </row>
    <row r="2" spans="1:15" ht="20.100000000000001" customHeight="1" x14ac:dyDescent="0.2">
      <c r="C2" s="187" t="s">
        <v>350</v>
      </c>
    </row>
    <row r="3" spans="1:15" ht="20.100000000000001" customHeight="1" x14ac:dyDescent="0.2">
      <c r="B3" s="187"/>
      <c r="C3" s="218" t="s">
        <v>415</v>
      </c>
    </row>
    <row r="4" spans="1:15" ht="30" customHeight="1" x14ac:dyDescent="0.2">
      <c r="B4" s="187"/>
      <c r="C4" s="188" t="s">
        <v>331</v>
      </c>
      <c r="D4" s="313" t="s">
        <v>332</v>
      </c>
      <c r="E4" s="314"/>
      <c r="F4" s="188" t="s">
        <v>333</v>
      </c>
      <c r="H4" s="189" t="s">
        <v>334</v>
      </c>
    </row>
    <row r="5" spans="1:15" ht="30" customHeight="1" x14ac:dyDescent="0.2">
      <c r="B5" s="187"/>
      <c r="C5" s="190" t="s">
        <v>335</v>
      </c>
      <c r="D5" s="319" t="s">
        <v>336</v>
      </c>
      <c r="E5" s="320"/>
      <c r="F5" s="191"/>
      <c r="H5" s="155" t="str">
        <f t="shared" ref="H5:H10" si="0">D5</f>
        <v>令和○年○月○日</v>
      </c>
    </row>
    <row r="6" spans="1:15" ht="30" customHeight="1" x14ac:dyDescent="0.2">
      <c r="B6" s="187"/>
      <c r="C6" s="27" t="s">
        <v>337</v>
      </c>
      <c r="D6" s="325" t="s">
        <v>338</v>
      </c>
      <c r="E6" s="326"/>
      <c r="F6" s="27" t="s">
        <v>339</v>
      </c>
      <c r="H6" s="155" t="str">
        <f t="shared" si="0"/>
        <v>○○市○○町○○番地</v>
      </c>
    </row>
    <row r="7" spans="1:15" ht="30" customHeight="1" x14ac:dyDescent="0.2">
      <c r="B7" s="187"/>
      <c r="C7" s="27" t="s">
        <v>340</v>
      </c>
      <c r="D7" s="323" t="s">
        <v>319</v>
      </c>
      <c r="E7" s="324"/>
      <c r="F7" s="27" t="s">
        <v>341</v>
      </c>
      <c r="H7" s="155" t="str">
        <f t="shared" si="0"/>
        <v>株式会社○○○○</v>
      </c>
    </row>
    <row r="8" spans="1:15" ht="30" customHeight="1" x14ac:dyDescent="0.2">
      <c r="B8" s="187"/>
      <c r="C8" s="27" t="s">
        <v>342</v>
      </c>
      <c r="D8" s="325" t="s">
        <v>343</v>
      </c>
      <c r="E8" s="326"/>
      <c r="F8" s="27" t="s">
        <v>341</v>
      </c>
      <c r="H8" s="155" t="str">
        <f t="shared" si="0"/>
        <v>代表取締役　○○○○</v>
      </c>
    </row>
    <row r="9" spans="1:15" ht="30" customHeight="1" x14ac:dyDescent="0.2">
      <c r="B9" s="187"/>
      <c r="C9" s="27" t="s">
        <v>344</v>
      </c>
      <c r="D9" s="325" t="s">
        <v>345</v>
      </c>
      <c r="E9" s="326"/>
      <c r="F9" s="27" t="s">
        <v>341</v>
      </c>
      <c r="H9" s="155" t="str">
        <f t="shared" si="0"/>
        <v>000-000-0000</v>
      </c>
    </row>
    <row r="10" spans="1:15" ht="30" customHeight="1" x14ac:dyDescent="0.2">
      <c r="B10" s="187"/>
      <c r="C10" s="27" t="s">
        <v>346</v>
      </c>
      <c r="D10" s="325" t="s">
        <v>347</v>
      </c>
      <c r="E10" s="326"/>
      <c r="F10" s="27" t="s">
        <v>341</v>
      </c>
      <c r="H10" s="155" t="str">
        <f t="shared" si="0"/>
        <v>○○○○</v>
      </c>
    </row>
    <row r="11" spans="1:15" ht="30" customHeight="1" x14ac:dyDescent="0.2">
      <c r="B11" s="187"/>
      <c r="C11" s="27" t="s">
        <v>348</v>
      </c>
      <c r="D11" s="325" t="s">
        <v>366</v>
      </c>
      <c r="E11" s="326"/>
      <c r="F11" s="192" t="s">
        <v>349</v>
      </c>
      <c r="H11" s="155" t="str">
        <f>D11</f>
        <v>○○・△△特定建設工事共同企業体</v>
      </c>
    </row>
    <row r="12" spans="1:15" s="95" customFormat="1" ht="30" customHeight="1" x14ac:dyDescent="0.2">
      <c r="C12" s="188" t="s">
        <v>352</v>
      </c>
      <c r="D12" s="313" t="s">
        <v>353</v>
      </c>
      <c r="E12" s="314"/>
      <c r="F12" s="188" t="s">
        <v>132</v>
      </c>
      <c r="H12" s="189" t="s">
        <v>354</v>
      </c>
    </row>
    <row r="13" spans="1:15" s="219" customFormat="1" ht="30" customHeight="1" x14ac:dyDescent="0.2">
      <c r="C13" s="220" t="s">
        <v>131</v>
      </c>
      <c r="D13" s="319" t="s">
        <v>273</v>
      </c>
      <c r="E13" s="320"/>
      <c r="F13" s="300" t="s">
        <v>441</v>
      </c>
      <c r="G13" s="221"/>
      <c r="H13" s="155" t="str">
        <f t="shared" ref="H13:H15" si="1">D13</f>
        <v>令和○年○月○日</v>
      </c>
      <c r="I13" s="158"/>
      <c r="J13" s="158"/>
    </row>
    <row r="14" spans="1:15" s="219" customFormat="1" ht="30" customHeight="1" x14ac:dyDescent="0.2">
      <c r="C14" s="222" t="s">
        <v>129</v>
      </c>
      <c r="D14" s="321" t="s">
        <v>137</v>
      </c>
      <c r="E14" s="322"/>
      <c r="F14" s="300" t="s">
        <v>442</v>
      </c>
      <c r="G14" s="221"/>
      <c r="H14" s="155" t="str">
        <f t="shared" si="1"/>
        <v xml:space="preserve">第○○-○○○○○-○○○○号 </v>
      </c>
      <c r="I14" s="158"/>
      <c r="J14" s="158"/>
    </row>
    <row r="15" spans="1:15" s="219" customFormat="1" ht="30" customHeight="1" x14ac:dyDescent="0.2">
      <c r="C15" s="223" t="s">
        <v>130</v>
      </c>
      <c r="D15" s="317" t="s">
        <v>330</v>
      </c>
      <c r="E15" s="318"/>
      <c r="F15" s="301" t="s">
        <v>443</v>
      </c>
      <c r="G15" s="221"/>
      <c r="H15" s="155" t="str">
        <f t="shared" si="1"/>
        <v>○○○○○○○○○○○○工事</v>
      </c>
      <c r="I15" s="158"/>
      <c r="J15" s="158"/>
    </row>
    <row r="16" spans="1:15" s="95" customFormat="1" ht="30" customHeight="1" x14ac:dyDescent="0.2">
      <c r="C16" s="224" t="s">
        <v>220</v>
      </c>
      <c r="D16" s="315"/>
      <c r="E16" s="316"/>
      <c r="F16" s="206" t="s">
        <v>365</v>
      </c>
      <c r="H16" s="159">
        <f>IF(OR(D16="一般土木工事",D16="舗装工事"),1,IF(OR(D16="建築工事",D16="電気設備工事",D16="暖冷房衛生設備工事"),2,10))</f>
        <v>10</v>
      </c>
      <c r="I16" s="95" t="s">
        <v>440</v>
      </c>
    </row>
    <row r="17" spans="3:9" s="95" customFormat="1" ht="30" customHeight="1" x14ac:dyDescent="0.2">
      <c r="C17" s="223" t="s">
        <v>221</v>
      </c>
      <c r="D17" s="323"/>
      <c r="E17" s="324"/>
      <c r="F17" s="206"/>
      <c r="H17" s="159" t="e">
        <f>VLOOKUP(D17,リスト2!G3:I7,3,FALSE)</f>
        <v>#N/A</v>
      </c>
      <c r="I17" s="95" t="s">
        <v>263</v>
      </c>
    </row>
    <row r="18" spans="3:9" s="95" customFormat="1" ht="30" customHeight="1" x14ac:dyDescent="0.2">
      <c r="C18" s="311" t="s">
        <v>270</v>
      </c>
      <c r="D18" s="157" t="s">
        <v>119</v>
      </c>
      <c r="E18" s="157" t="s">
        <v>125</v>
      </c>
      <c r="F18" s="311" t="s">
        <v>272</v>
      </c>
    </row>
    <row r="19" spans="3:9" s="95" customFormat="1" ht="30" customHeight="1" x14ac:dyDescent="0.2">
      <c r="C19" s="312"/>
      <c r="D19" s="193" t="s">
        <v>275</v>
      </c>
      <c r="E19" s="193" t="s">
        <v>275</v>
      </c>
      <c r="F19" s="312"/>
    </row>
    <row r="20" spans="3:9" s="95" customFormat="1" ht="30" customHeight="1" x14ac:dyDescent="0.2">
      <c r="C20" s="86" t="s">
        <v>127</v>
      </c>
      <c r="D20" s="156" t="str">
        <f>VLOOKUP(D19,リスト2!$C$3:$E$64,2,FALSE)</f>
        <v>-</v>
      </c>
      <c r="E20" s="156" t="str">
        <f>VLOOKUP(E19,リスト2!$C$3:$E$64,2,FALSE)</f>
        <v>-</v>
      </c>
      <c r="F20" s="156" t="s">
        <v>268</v>
      </c>
    </row>
    <row r="21" spans="3:9" s="95" customFormat="1" ht="30" customHeight="1" x14ac:dyDescent="0.2">
      <c r="C21" s="86" t="s">
        <v>128</v>
      </c>
      <c r="D21" s="156" t="str">
        <f>VLOOKUP(D19,リスト2!$C$3:$E$64,3,FALSE)</f>
        <v>-</v>
      </c>
      <c r="E21" s="156" t="str">
        <f>VLOOKUP(E19,リスト2!$C$3:$E$64,3,FALSE)</f>
        <v>-</v>
      </c>
      <c r="F21" s="156" t="s">
        <v>126</v>
      </c>
    </row>
    <row r="22" spans="3:9" s="95" customFormat="1" ht="30" customHeight="1" x14ac:dyDescent="0.2">
      <c r="F22" s="225" t="s">
        <v>269</v>
      </c>
    </row>
    <row r="23" spans="3:9" s="95" customFormat="1" ht="30" customHeight="1" x14ac:dyDescent="0.2">
      <c r="C23" s="156" t="s">
        <v>123</v>
      </c>
      <c r="D23" s="226" t="e">
        <f>'2.様式第1号、第6～8号(標準型)'!V48</f>
        <v>#N/A</v>
      </c>
      <c r="E23" s="156" t="s">
        <v>124</v>
      </c>
      <c r="F23" s="194" t="s">
        <v>351</v>
      </c>
    </row>
    <row r="24" spans="3:9" s="95" customFormat="1" ht="20.100000000000001" customHeight="1" x14ac:dyDescent="0.2"/>
    <row r="25" spans="3:9" s="95" customFormat="1" x14ac:dyDescent="0.2"/>
    <row r="26" spans="3:9" s="95" customFormat="1" x14ac:dyDescent="0.2"/>
    <row r="27" spans="3:9" s="95" customFormat="1" x14ac:dyDescent="0.2"/>
    <row r="28" spans="3:9" s="95" customFormat="1" x14ac:dyDescent="0.2"/>
    <row r="29" spans="3:9" s="95" customFormat="1" x14ac:dyDescent="0.2"/>
    <row r="30" spans="3:9" s="95" customFormat="1" x14ac:dyDescent="0.2"/>
    <row r="31" spans="3:9" s="95" customFormat="1" x14ac:dyDescent="0.2"/>
    <row r="32" spans="3:9" s="95" customFormat="1" x14ac:dyDescent="0.2"/>
    <row r="33" s="95" customFormat="1" x14ac:dyDescent="0.2"/>
  </sheetData>
  <sheetProtection password="F450" sheet="1" objects="1" scenarios="1"/>
  <mergeCells count="17">
    <mergeCell ref="D9:E9"/>
    <mergeCell ref="D10:E10"/>
    <mergeCell ref="D11:E11"/>
    <mergeCell ref="C1:F1"/>
    <mergeCell ref="D4:E4"/>
    <mergeCell ref="D5:E5"/>
    <mergeCell ref="D6:E6"/>
    <mergeCell ref="D7:E7"/>
    <mergeCell ref="D8:E8"/>
    <mergeCell ref="F18:F19"/>
    <mergeCell ref="D12:E12"/>
    <mergeCell ref="D16:E16"/>
    <mergeCell ref="D15:E15"/>
    <mergeCell ref="C18:C19"/>
    <mergeCell ref="D13:E13"/>
    <mergeCell ref="D14:E14"/>
    <mergeCell ref="D17:E17"/>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144780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68580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リスト!$F$4:$F$21</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
  <sheetViews>
    <sheetView showGridLines="0" tabSelected="1" view="pageBreakPreview" zoomScale="60" zoomScaleNormal="60" workbookViewId="0">
      <selection activeCell="K99" sqref="K99:S99"/>
    </sheetView>
  </sheetViews>
  <sheetFormatPr defaultColWidth="8.88671875" defaultRowHeight="13.2" x14ac:dyDescent="0.2"/>
  <cols>
    <col min="1" max="1" width="2" style="18" customWidth="1"/>
    <col min="2" max="3" width="3.6640625" style="18" customWidth="1"/>
    <col min="4" max="4" width="13" style="18" customWidth="1"/>
    <col min="5" max="6" width="6.77734375" style="18" customWidth="1"/>
    <col min="7" max="7" width="17" style="18" customWidth="1"/>
    <col min="8" max="8" width="7.33203125" style="18" customWidth="1"/>
    <col min="9" max="9" width="3.33203125" style="18" customWidth="1"/>
    <col min="10" max="14" width="3.6640625" style="18" customWidth="1"/>
    <col min="15" max="15" width="3.77734375" style="18" customWidth="1"/>
    <col min="16" max="17" width="3.6640625" style="18" customWidth="1"/>
    <col min="18" max="18" width="11.77734375" style="18" customWidth="1"/>
    <col min="19" max="19" width="17.77734375" style="18" customWidth="1"/>
    <col min="20" max="21" width="9" style="18" customWidth="1"/>
    <col min="22" max="22" width="26.21875" style="18" customWidth="1"/>
    <col min="23" max="23" width="10.6640625" style="18" customWidth="1"/>
    <col min="24" max="24" width="12.21875" style="18" customWidth="1"/>
    <col min="25" max="25" width="9" style="18" customWidth="1"/>
    <col min="26" max="27" width="10.6640625" style="18" customWidth="1"/>
    <col min="28" max="30" width="9" style="18" customWidth="1"/>
    <col min="31" max="33" width="9.44140625" style="18" customWidth="1"/>
    <col min="34" max="34" width="12" style="18" customWidth="1"/>
    <col min="35" max="35" width="11.6640625" style="18" customWidth="1"/>
    <col min="36" max="36" width="11.77734375" style="18" customWidth="1"/>
    <col min="37" max="37" width="11.88671875" style="18" customWidth="1"/>
    <col min="38" max="38" width="12" style="18" customWidth="1"/>
    <col min="39" max="39" width="12.6640625" style="18" customWidth="1"/>
    <col min="40" max="41" width="12.21875" style="18" customWidth="1"/>
    <col min="42" max="42" width="12.109375" style="18" customWidth="1"/>
    <col min="43" max="43" width="11" style="18" customWidth="1"/>
    <col min="44" max="44" width="8.88671875" style="18"/>
    <col min="45" max="45" width="11.44140625" style="18" customWidth="1"/>
    <col min="46" max="50" width="8.88671875" style="18"/>
    <col min="51" max="51" width="11.44140625" style="18" customWidth="1"/>
    <col min="52" max="52" width="11.77734375" style="18" customWidth="1"/>
    <col min="53" max="16384" width="8.88671875" style="18"/>
  </cols>
  <sheetData>
    <row r="1" spans="1:19" ht="15" customHeight="1" x14ac:dyDescent="0.2">
      <c r="S1" s="306" t="str">
        <f>'1.基本データ(このシートは削除しないこと！)'!H1</f>
        <v>令和６年度様式（令和６年４月１日以降の入札公告から適用）</v>
      </c>
    </row>
    <row r="2" spans="1:19" s="227" customFormat="1" ht="15" customHeight="1" x14ac:dyDescent="0.2"/>
    <row r="3" spans="1:19" s="227" customFormat="1" ht="15" customHeight="1" x14ac:dyDescent="0.2"/>
    <row r="4" spans="1:19" s="227" customFormat="1" ht="19.95" customHeight="1" x14ac:dyDescent="0.2">
      <c r="C4" s="262" t="s">
        <v>418</v>
      </c>
    </row>
    <row r="5" spans="1:19" s="227" customFormat="1" ht="38.4" customHeight="1" x14ac:dyDescent="0.2">
      <c r="A5" s="371" t="s">
        <v>419</v>
      </c>
      <c r="B5" s="371"/>
      <c r="C5" s="371"/>
      <c r="D5" s="371"/>
      <c r="E5" s="371"/>
      <c r="F5" s="371"/>
      <c r="G5" s="371"/>
      <c r="H5" s="371"/>
      <c r="I5" s="371"/>
      <c r="J5" s="371"/>
      <c r="K5" s="371"/>
      <c r="L5" s="371"/>
      <c r="M5" s="371"/>
      <c r="N5" s="371"/>
      <c r="O5" s="371"/>
      <c r="P5" s="371"/>
      <c r="Q5" s="371"/>
      <c r="R5" s="371"/>
      <c r="S5" s="371"/>
    </row>
    <row r="6" spans="1:19" s="227" customFormat="1" ht="19.95" customHeight="1" x14ac:dyDescent="0.2">
      <c r="A6" s="263"/>
      <c r="B6" s="264"/>
      <c r="C6" s="262"/>
      <c r="D6" s="262"/>
      <c r="E6" s="262"/>
      <c r="F6" s="262"/>
      <c r="G6" s="262"/>
      <c r="H6" s="262"/>
      <c r="I6" s="262"/>
      <c r="J6" s="262"/>
      <c r="K6" s="262"/>
      <c r="L6" s="262"/>
      <c r="M6" s="262"/>
      <c r="N6" s="262"/>
      <c r="O6" s="265"/>
      <c r="P6" s="265"/>
      <c r="Q6" s="372"/>
      <c r="R6" s="372"/>
      <c r="S6" s="372"/>
    </row>
    <row r="7" spans="1:19" s="227" customFormat="1" ht="19.95" customHeight="1" x14ac:dyDescent="0.2">
      <c r="A7" s="266"/>
      <c r="B7" s="267"/>
      <c r="C7" s="264"/>
      <c r="D7" s="264"/>
      <c r="E7" s="262"/>
      <c r="F7" s="262"/>
      <c r="G7" s="262"/>
      <c r="H7" s="262"/>
      <c r="I7" s="262"/>
      <c r="J7" s="262"/>
      <c r="K7" s="262"/>
      <c r="L7" s="262"/>
      <c r="M7" s="262"/>
      <c r="N7" s="262"/>
      <c r="O7" s="262"/>
      <c r="P7" s="262"/>
      <c r="Q7" s="262"/>
      <c r="R7" s="262"/>
      <c r="S7" s="262"/>
    </row>
    <row r="8" spans="1:19" s="227" customFormat="1" ht="19.95" customHeight="1" x14ac:dyDescent="0.2">
      <c r="B8" s="268"/>
      <c r="C8" s="268" t="s">
        <v>15</v>
      </c>
      <c r="D8" s="268"/>
      <c r="E8" s="262"/>
      <c r="F8" s="262"/>
      <c r="G8" s="262"/>
      <c r="H8" s="262"/>
      <c r="I8" s="262"/>
      <c r="J8" s="262"/>
      <c r="K8" s="262"/>
      <c r="L8" s="262"/>
      <c r="M8" s="262"/>
      <c r="N8" s="262"/>
      <c r="O8" s="262"/>
      <c r="P8" s="262"/>
      <c r="Q8" s="262"/>
      <c r="R8" s="262"/>
      <c r="S8" s="262"/>
    </row>
    <row r="9" spans="1:19" s="227" customFormat="1" ht="19.95" customHeight="1" x14ac:dyDescent="0.2">
      <c r="A9" s="266"/>
      <c r="B9" s="267"/>
      <c r="C9" s="264"/>
      <c r="D9" s="264"/>
      <c r="E9" s="262"/>
      <c r="F9" s="262"/>
      <c r="G9" s="262"/>
      <c r="H9" s="262"/>
      <c r="I9" s="262"/>
      <c r="J9" s="262"/>
      <c r="K9" s="262"/>
      <c r="L9" s="262"/>
      <c r="M9" s="262"/>
      <c r="N9" s="262"/>
      <c r="O9" s="262"/>
      <c r="P9" s="262"/>
      <c r="Q9" s="262"/>
      <c r="R9" s="262"/>
      <c r="S9" s="262"/>
    </row>
    <row r="10" spans="1:19" s="227" customFormat="1" ht="25.2" customHeight="1" x14ac:dyDescent="0.2">
      <c r="A10" s="266"/>
      <c r="B10" s="264"/>
      <c r="C10" s="262"/>
      <c r="D10" s="262"/>
      <c r="E10" s="262"/>
      <c r="F10" s="262"/>
      <c r="G10" s="262"/>
      <c r="H10" s="262"/>
      <c r="I10" s="262"/>
      <c r="J10" s="262"/>
      <c r="K10" s="262"/>
      <c r="L10" s="338" t="str">
        <f>IF('1.基本データ(このシートは削除しないこと！)'!H11=0,"",'1.基本データ(このシートは削除しないこと！)'!H11)</f>
        <v>○○・△△特定建設工事共同企業体</v>
      </c>
      <c r="M10" s="338"/>
      <c r="N10" s="338"/>
      <c r="O10" s="338"/>
      <c r="P10" s="338"/>
      <c r="Q10" s="338"/>
      <c r="R10" s="338"/>
      <c r="S10" s="338"/>
    </row>
    <row r="11" spans="1:19" s="227" customFormat="1" ht="25.2" customHeight="1" x14ac:dyDescent="0.2">
      <c r="B11" s="262"/>
      <c r="C11" s="262"/>
      <c r="D11" s="262"/>
      <c r="E11" s="262"/>
      <c r="F11" s="262"/>
      <c r="G11" s="262"/>
      <c r="H11" s="262"/>
      <c r="I11" s="262"/>
      <c r="J11" s="262"/>
      <c r="K11" s="303" t="str">
        <f>IF('[1]1.基本データ(このシートは削除しないこと！)'!H12=0," ","代表構成員")</f>
        <v>代表構成員</v>
      </c>
      <c r="L11" s="373" t="str">
        <f>'1.基本データ(このシートは削除しないこと！)'!H6</f>
        <v>○○市○○町○○番地</v>
      </c>
      <c r="M11" s="373"/>
      <c r="N11" s="373"/>
      <c r="O11" s="373"/>
      <c r="P11" s="373"/>
      <c r="Q11" s="373"/>
      <c r="R11" s="373"/>
      <c r="S11" s="373"/>
    </row>
    <row r="12" spans="1:19" s="227" customFormat="1" ht="25.2" customHeight="1" x14ac:dyDescent="0.25">
      <c r="A12" s="263"/>
      <c r="B12" s="262"/>
      <c r="C12" s="262"/>
      <c r="D12" s="262"/>
      <c r="E12" s="262"/>
      <c r="F12" s="262"/>
      <c r="G12" s="374" t="s">
        <v>420</v>
      </c>
      <c r="H12" s="374"/>
      <c r="I12" s="374"/>
      <c r="J12" s="374"/>
      <c r="K12" s="374"/>
      <c r="L12" s="373"/>
      <c r="M12" s="373"/>
      <c r="N12" s="373"/>
      <c r="O12" s="373"/>
      <c r="P12" s="373"/>
      <c r="Q12" s="373"/>
      <c r="R12" s="373"/>
      <c r="S12" s="373"/>
    </row>
    <row r="13" spans="1:19" s="227" customFormat="1" ht="25.2" customHeight="1" x14ac:dyDescent="0.25">
      <c r="A13" s="263"/>
      <c r="B13" s="262"/>
      <c r="C13" s="262"/>
      <c r="D13" s="262"/>
      <c r="E13" s="262"/>
      <c r="F13" s="262"/>
      <c r="G13" s="374" t="s">
        <v>6</v>
      </c>
      <c r="H13" s="374"/>
      <c r="I13" s="374"/>
      <c r="J13" s="374"/>
      <c r="K13" s="374"/>
      <c r="L13" s="375" t="str">
        <f>'1.基本データ(このシートは削除しないこと！)'!H7</f>
        <v>株式会社○○○○</v>
      </c>
      <c r="M13" s="375"/>
      <c r="N13" s="375"/>
      <c r="O13" s="375"/>
      <c r="P13" s="375"/>
      <c r="Q13" s="375"/>
      <c r="R13" s="375"/>
      <c r="S13" s="375"/>
    </row>
    <row r="14" spans="1:19" s="227" customFormat="1" ht="25.2" customHeight="1" x14ac:dyDescent="0.25">
      <c r="A14" s="263"/>
      <c r="B14" s="262"/>
      <c r="C14" s="262"/>
      <c r="D14" s="262"/>
      <c r="E14" s="262"/>
      <c r="F14" s="262"/>
      <c r="G14" s="374" t="s">
        <v>13</v>
      </c>
      <c r="H14" s="374"/>
      <c r="I14" s="374"/>
      <c r="J14" s="374"/>
      <c r="K14" s="374"/>
      <c r="L14" s="375" t="str">
        <f>'1.基本データ(このシートは削除しないこと！)'!H8</f>
        <v>代表取締役　○○○○</v>
      </c>
      <c r="M14" s="375"/>
      <c r="N14" s="375"/>
      <c r="O14" s="375"/>
      <c r="P14" s="375"/>
      <c r="Q14" s="375"/>
      <c r="R14" s="375"/>
      <c r="S14" s="375"/>
    </row>
    <row r="15" spans="1:19" s="227" customFormat="1" ht="25.2" customHeight="1" x14ac:dyDescent="0.2">
      <c r="A15" s="263"/>
      <c r="B15" s="269"/>
      <c r="C15" s="270"/>
      <c r="D15" s="264"/>
      <c r="E15" s="262"/>
      <c r="F15" s="262"/>
      <c r="G15" s="271"/>
      <c r="H15" s="271"/>
      <c r="I15" s="271"/>
      <c r="J15" s="271"/>
      <c r="K15" s="271"/>
      <c r="L15" s="271"/>
      <c r="M15" s="271"/>
      <c r="N15" s="271"/>
      <c r="O15" s="271"/>
      <c r="P15" s="271"/>
      <c r="Q15" s="271"/>
      <c r="R15" s="271"/>
      <c r="S15" s="271"/>
    </row>
    <row r="16" spans="1:19" s="227" customFormat="1" ht="25.2" customHeight="1" x14ac:dyDescent="0.2">
      <c r="A16" s="263"/>
      <c r="B16" s="262"/>
      <c r="C16" s="262"/>
      <c r="D16" s="264"/>
      <c r="E16" s="262"/>
      <c r="F16" s="262"/>
      <c r="G16" s="337" t="s">
        <v>7</v>
      </c>
      <c r="H16" s="337"/>
      <c r="I16" s="337"/>
      <c r="J16" s="337"/>
      <c r="K16" s="337"/>
      <c r="L16" s="338" t="str">
        <f>'1.基本データ(このシートは削除しないこと！)'!H9</f>
        <v>000-000-0000</v>
      </c>
      <c r="M16" s="338"/>
      <c r="N16" s="338"/>
      <c r="O16" s="338"/>
      <c r="P16" s="338"/>
      <c r="Q16" s="338"/>
      <c r="R16" s="338"/>
      <c r="S16" s="338"/>
    </row>
    <row r="17" spans="1:19" s="227" customFormat="1" ht="25.2" customHeight="1" x14ac:dyDescent="0.2">
      <c r="A17" s="263"/>
      <c r="B17" s="262"/>
      <c r="C17" s="262"/>
      <c r="D17" s="264"/>
      <c r="E17" s="262"/>
      <c r="F17" s="262"/>
      <c r="G17" s="339" t="s">
        <v>14</v>
      </c>
      <c r="H17" s="339"/>
      <c r="I17" s="339"/>
      <c r="J17" s="339"/>
      <c r="K17" s="339"/>
      <c r="L17" s="340" t="str">
        <f>'1.基本データ(このシートは削除しないこと！)'!H10</f>
        <v>○○○○</v>
      </c>
      <c r="M17" s="340"/>
      <c r="N17" s="340"/>
      <c r="O17" s="340"/>
      <c r="P17" s="340"/>
      <c r="Q17" s="340"/>
      <c r="R17" s="340"/>
      <c r="S17" s="340"/>
    </row>
    <row r="18" spans="1:19" s="227" customFormat="1" ht="19.95" customHeight="1" x14ac:dyDescent="0.2">
      <c r="A18" s="266"/>
      <c r="B18" s="267"/>
      <c r="C18" s="264"/>
      <c r="D18" s="264"/>
      <c r="E18" s="262"/>
      <c r="F18" s="262"/>
      <c r="G18" s="262"/>
      <c r="H18" s="262"/>
      <c r="I18" s="262"/>
      <c r="J18" s="262"/>
      <c r="K18" s="262"/>
      <c r="L18" s="262"/>
      <c r="M18" s="262"/>
      <c r="N18" s="262"/>
      <c r="O18" s="262"/>
      <c r="P18" s="262"/>
      <c r="Q18" s="262"/>
      <c r="R18" s="262"/>
      <c r="S18" s="262"/>
    </row>
    <row r="19" spans="1:19" s="227" customFormat="1" ht="19.95" customHeight="1" x14ac:dyDescent="0.2">
      <c r="B19" s="262"/>
      <c r="C19" s="262"/>
      <c r="D19" s="262"/>
      <c r="E19" s="262"/>
      <c r="F19" s="262"/>
      <c r="G19" s="262"/>
      <c r="H19" s="262"/>
      <c r="I19" s="262"/>
      <c r="J19" s="262"/>
      <c r="K19" s="262"/>
      <c r="L19" s="262"/>
      <c r="M19" s="262"/>
      <c r="N19" s="262"/>
      <c r="O19" s="262"/>
      <c r="P19" s="262"/>
      <c r="Q19" s="262"/>
      <c r="R19" s="262"/>
      <c r="S19" s="262"/>
    </row>
    <row r="20" spans="1:19" s="227" customFormat="1" ht="19.95" customHeight="1" x14ac:dyDescent="0.2">
      <c r="B20" s="262"/>
      <c r="C20" s="341"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41"/>
      <c r="E20" s="341"/>
      <c r="F20" s="341"/>
      <c r="G20" s="341"/>
      <c r="H20" s="341"/>
      <c r="I20" s="341"/>
      <c r="J20" s="341"/>
      <c r="K20" s="341"/>
      <c r="L20" s="341"/>
      <c r="M20" s="341"/>
      <c r="N20" s="341"/>
      <c r="O20" s="341"/>
      <c r="P20" s="341"/>
      <c r="Q20" s="341"/>
      <c r="R20" s="341"/>
      <c r="S20" s="341"/>
    </row>
    <row r="21" spans="1:19" s="227" customFormat="1" ht="19.95" customHeight="1" x14ac:dyDescent="0.2">
      <c r="B21" s="262"/>
      <c r="C21" s="341"/>
      <c r="D21" s="341"/>
      <c r="E21" s="341"/>
      <c r="F21" s="341"/>
      <c r="G21" s="341"/>
      <c r="H21" s="341"/>
      <c r="I21" s="341"/>
      <c r="J21" s="341"/>
      <c r="K21" s="341"/>
      <c r="L21" s="341"/>
      <c r="M21" s="341"/>
      <c r="N21" s="341"/>
      <c r="O21" s="341"/>
      <c r="P21" s="341"/>
      <c r="Q21" s="341"/>
      <c r="R21" s="341"/>
      <c r="S21" s="341"/>
    </row>
    <row r="22" spans="1:19" s="227" customFormat="1" ht="19.95" customHeight="1" x14ac:dyDescent="0.2">
      <c r="B22" s="262"/>
      <c r="C22" s="341"/>
      <c r="D22" s="341"/>
      <c r="E22" s="341"/>
      <c r="F22" s="341"/>
      <c r="G22" s="341"/>
      <c r="H22" s="341"/>
      <c r="I22" s="341"/>
      <c r="J22" s="341"/>
      <c r="K22" s="341"/>
      <c r="L22" s="341"/>
      <c r="M22" s="341"/>
      <c r="N22" s="341"/>
      <c r="O22" s="341"/>
      <c r="P22" s="341"/>
      <c r="Q22" s="341"/>
      <c r="R22" s="341"/>
      <c r="S22" s="341"/>
    </row>
    <row r="23" spans="1:19" s="227" customFormat="1" ht="19.95" customHeight="1" x14ac:dyDescent="0.2">
      <c r="B23" s="262"/>
      <c r="C23" s="341"/>
      <c r="D23" s="341"/>
      <c r="E23" s="341"/>
      <c r="F23" s="341"/>
      <c r="G23" s="341"/>
      <c r="H23" s="341"/>
      <c r="I23" s="341"/>
      <c r="J23" s="341"/>
      <c r="K23" s="341"/>
      <c r="L23" s="341"/>
      <c r="M23" s="341"/>
      <c r="N23" s="341"/>
      <c r="O23" s="341"/>
      <c r="P23" s="341"/>
      <c r="Q23" s="341"/>
      <c r="R23" s="341"/>
      <c r="S23" s="341"/>
    </row>
    <row r="24" spans="1:19" s="227" customFormat="1" ht="19.95" customHeight="1" x14ac:dyDescent="0.2">
      <c r="B24" s="262"/>
      <c r="C24" s="341"/>
      <c r="D24" s="341"/>
      <c r="E24" s="341"/>
      <c r="F24" s="341"/>
      <c r="G24" s="341"/>
      <c r="H24" s="341"/>
      <c r="I24" s="341"/>
      <c r="J24" s="341"/>
      <c r="K24" s="341"/>
      <c r="L24" s="341"/>
      <c r="M24" s="341"/>
      <c r="N24" s="341"/>
      <c r="O24" s="341"/>
      <c r="P24" s="341"/>
      <c r="Q24" s="341"/>
      <c r="R24" s="341"/>
      <c r="S24" s="341"/>
    </row>
    <row r="25" spans="1:19" s="227" customFormat="1" ht="19.95" customHeight="1" x14ac:dyDescent="0.2">
      <c r="B25" s="262"/>
      <c r="C25" s="262"/>
      <c r="D25" s="262"/>
      <c r="E25" s="262"/>
      <c r="F25" s="262"/>
      <c r="G25" s="262"/>
      <c r="H25" s="262"/>
      <c r="I25" s="262"/>
      <c r="J25" s="262"/>
      <c r="K25" s="262"/>
      <c r="L25" s="262"/>
      <c r="M25" s="262"/>
      <c r="N25" s="262"/>
      <c r="O25" s="262"/>
      <c r="P25" s="262"/>
      <c r="Q25" s="262"/>
      <c r="R25" s="262"/>
      <c r="S25" s="262"/>
    </row>
    <row r="26" spans="1:19" s="272" customFormat="1" ht="22.95" customHeight="1" x14ac:dyDescent="0.2">
      <c r="B26" s="262"/>
      <c r="C26" s="269" t="s">
        <v>421</v>
      </c>
      <c r="D26" s="269"/>
      <c r="E26" s="269"/>
      <c r="F26" s="269"/>
      <c r="G26" s="273"/>
      <c r="H26" s="273"/>
      <c r="I26" s="273"/>
      <c r="J26" s="273"/>
      <c r="K26" s="273"/>
      <c r="L26" s="273"/>
      <c r="M26" s="273"/>
      <c r="N26" s="273"/>
      <c r="O26" s="273"/>
      <c r="P26" s="273"/>
      <c r="Q26" s="273"/>
      <c r="R26" s="273"/>
      <c r="S26" s="273"/>
    </row>
    <row r="27" spans="1:19" s="272" customFormat="1" ht="22.95" customHeight="1" x14ac:dyDescent="0.2">
      <c r="B27" s="262"/>
      <c r="C27" s="269" t="s">
        <v>422</v>
      </c>
      <c r="D27" s="269"/>
      <c r="E27" s="269"/>
      <c r="F27" s="269"/>
      <c r="G27" s="273"/>
      <c r="H27" s="273"/>
      <c r="I27" s="273"/>
      <c r="J27" s="273"/>
      <c r="K27" s="273"/>
      <c r="L27" s="273"/>
      <c r="M27" s="273"/>
      <c r="N27" s="273"/>
      <c r="O27" s="273"/>
      <c r="P27" s="273"/>
      <c r="Q27" s="273"/>
      <c r="R27" s="273"/>
      <c r="S27" s="273"/>
    </row>
    <row r="28" spans="1:19" s="272" customFormat="1" ht="22.95" customHeight="1" x14ac:dyDescent="0.2">
      <c r="B28" s="262"/>
      <c r="C28" s="268" t="s">
        <v>423</v>
      </c>
      <c r="D28" s="268"/>
      <c r="E28" s="268"/>
      <c r="F28" s="268"/>
      <c r="G28" s="262"/>
      <c r="H28" s="262"/>
      <c r="I28" s="262"/>
      <c r="J28" s="262"/>
      <c r="K28" s="262"/>
      <c r="L28" s="262"/>
      <c r="M28" s="262"/>
      <c r="N28" s="262"/>
      <c r="O28" s="262"/>
      <c r="P28" s="262"/>
      <c r="Q28" s="262"/>
      <c r="R28" s="262"/>
      <c r="S28" s="262"/>
    </row>
    <row r="29" spans="1:19" s="272" customFormat="1" ht="22.95" customHeight="1" x14ac:dyDescent="0.2">
      <c r="B29" s="262"/>
      <c r="C29" s="269"/>
      <c r="D29" s="269"/>
      <c r="E29" s="269"/>
      <c r="F29" s="269"/>
      <c r="G29" s="262"/>
      <c r="H29" s="262"/>
      <c r="I29" s="262"/>
      <c r="J29" s="262"/>
      <c r="K29" s="262"/>
      <c r="L29" s="262"/>
      <c r="M29" s="262"/>
      <c r="N29" s="262"/>
      <c r="O29" s="262"/>
      <c r="P29" s="262"/>
      <c r="Q29" s="262"/>
      <c r="R29" s="262"/>
      <c r="S29" s="262"/>
    </row>
    <row r="30" spans="1:19" s="272" customFormat="1" ht="22.95" customHeight="1" x14ac:dyDescent="0.2">
      <c r="B30" s="262"/>
      <c r="C30" s="268" t="s">
        <v>301</v>
      </c>
      <c r="D30" s="268"/>
      <c r="E30" s="268"/>
      <c r="F30" s="268"/>
      <c r="G30" s="262"/>
      <c r="H30" s="262"/>
      <c r="I30" s="262"/>
      <c r="J30" s="262"/>
      <c r="K30" s="262"/>
      <c r="L30" s="262"/>
      <c r="M30" s="262"/>
      <c r="N30" s="262"/>
      <c r="O30" s="262"/>
      <c r="P30" s="262"/>
      <c r="Q30" s="262"/>
      <c r="R30" s="262"/>
      <c r="S30" s="262"/>
    </row>
    <row r="31" spans="1:19" s="272" customFormat="1" ht="22.95" customHeight="1" x14ac:dyDescent="0.2">
      <c r="B31" s="262"/>
      <c r="C31" s="268" t="s">
        <v>424</v>
      </c>
      <c r="D31" s="268"/>
      <c r="E31" s="268"/>
      <c r="F31" s="268"/>
      <c r="G31" s="262"/>
      <c r="H31" s="262"/>
      <c r="I31" s="262"/>
      <c r="J31" s="262"/>
      <c r="K31" s="262"/>
      <c r="L31" s="262"/>
      <c r="M31" s="262"/>
      <c r="N31" s="262"/>
      <c r="O31" s="262"/>
      <c r="P31" s="262"/>
      <c r="Q31" s="262"/>
      <c r="R31" s="262"/>
      <c r="S31" s="262"/>
    </row>
    <row r="32" spans="1:19" s="272" customFormat="1" ht="22.95" customHeight="1" x14ac:dyDescent="0.2">
      <c r="B32" s="262"/>
      <c r="C32" s="268" t="s">
        <v>425</v>
      </c>
      <c r="D32" s="268"/>
      <c r="E32" s="268"/>
      <c r="F32" s="268"/>
      <c r="G32" s="262"/>
      <c r="H32" s="262"/>
      <c r="I32" s="262"/>
      <c r="J32" s="262"/>
      <c r="K32" s="262"/>
      <c r="L32" s="262"/>
      <c r="M32" s="262"/>
      <c r="N32" s="262"/>
      <c r="O32" s="262"/>
      <c r="P32" s="262"/>
      <c r="Q32" s="262"/>
      <c r="R32" s="262"/>
      <c r="S32" s="262"/>
    </row>
    <row r="33" spans="1:22" s="272" customFormat="1" ht="22.95" customHeight="1" x14ac:dyDescent="0.2">
      <c r="B33" s="262"/>
      <c r="C33" s="268"/>
      <c r="D33" s="268"/>
      <c r="E33" s="268"/>
      <c r="F33" s="268"/>
      <c r="G33" s="262"/>
      <c r="H33" s="262"/>
      <c r="I33" s="262"/>
      <c r="J33" s="262"/>
      <c r="K33" s="262"/>
      <c r="L33" s="262"/>
      <c r="M33" s="262"/>
      <c r="N33" s="262"/>
      <c r="O33" s="262"/>
      <c r="P33" s="262"/>
      <c r="Q33" s="262"/>
      <c r="R33" s="262"/>
      <c r="S33" s="262"/>
    </row>
    <row r="34" spans="1:22" s="272" customFormat="1" ht="22.95" customHeight="1" x14ac:dyDescent="0.2">
      <c r="B34" s="262"/>
      <c r="C34" s="268" t="s">
        <v>416</v>
      </c>
      <c r="D34" s="268"/>
      <c r="E34" s="268"/>
      <c r="F34" s="268"/>
      <c r="G34" s="262"/>
      <c r="H34" s="262"/>
      <c r="I34" s="262"/>
      <c r="J34" s="262"/>
      <c r="K34" s="262"/>
      <c r="L34" s="262"/>
      <c r="M34" s="262"/>
      <c r="N34" s="262"/>
      <c r="O34" s="262"/>
      <c r="P34" s="262"/>
      <c r="Q34" s="262"/>
      <c r="R34" s="262"/>
      <c r="S34" s="262"/>
    </row>
    <row r="35" spans="1:22" s="272" customFormat="1" ht="22.95" customHeight="1" x14ac:dyDescent="0.2">
      <c r="B35" s="262"/>
      <c r="C35" s="268" t="s">
        <v>8</v>
      </c>
      <c r="D35" s="268"/>
      <c r="E35" s="268"/>
      <c r="F35" s="268"/>
      <c r="G35" s="262"/>
      <c r="H35" s="262"/>
      <c r="I35" s="262"/>
      <c r="J35" s="262"/>
      <c r="K35" s="262"/>
      <c r="L35" s="262"/>
      <c r="M35" s="262"/>
      <c r="N35" s="262"/>
      <c r="O35" s="262"/>
      <c r="P35" s="262"/>
      <c r="Q35" s="262"/>
      <c r="R35" s="262"/>
      <c r="S35" s="262"/>
    </row>
    <row r="36" spans="1:22" s="272" customFormat="1" ht="22.95" customHeight="1" x14ac:dyDescent="0.2">
      <c r="B36" s="262"/>
      <c r="C36" s="268" t="s">
        <v>9</v>
      </c>
      <c r="D36" s="268"/>
      <c r="E36" s="268"/>
      <c r="F36" s="268"/>
      <c r="G36" s="262"/>
      <c r="H36" s="262"/>
      <c r="I36" s="262"/>
      <c r="J36" s="262"/>
      <c r="K36" s="262"/>
      <c r="L36" s="262"/>
      <c r="M36" s="262"/>
      <c r="N36" s="262"/>
      <c r="O36" s="262"/>
      <c r="P36" s="262"/>
      <c r="Q36" s="262"/>
      <c r="R36" s="262"/>
      <c r="S36" s="262"/>
    </row>
    <row r="37" spans="1:22" s="272" customFormat="1" ht="22.95" customHeight="1" x14ac:dyDescent="0.2">
      <c r="B37" s="262"/>
      <c r="C37" s="268" t="s">
        <v>10</v>
      </c>
      <c r="D37" s="268"/>
      <c r="E37" s="268"/>
      <c r="F37" s="268"/>
      <c r="G37" s="262"/>
      <c r="H37" s="262"/>
      <c r="I37" s="262"/>
      <c r="J37" s="262"/>
      <c r="K37" s="262"/>
      <c r="L37" s="262"/>
      <c r="M37" s="262"/>
      <c r="N37" s="262"/>
      <c r="O37" s="262"/>
      <c r="P37" s="262"/>
      <c r="Q37" s="262"/>
      <c r="R37" s="262"/>
      <c r="S37" s="262"/>
    </row>
    <row r="38" spans="1:22" s="272" customFormat="1" ht="22.95" customHeight="1" x14ac:dyDescent="0.2">
      <c r="B38" s="262"/>
      <c r="C38" s="268" t="s">
        <v>11</v>
      </c>
      <c r="D38" s="268"/>
      <c r="E38" s="268"/>
      <c r="F38" s="268"/>
      <c r="G38" s="262"/>
      <c r="H38" s="262"/>
      <c r="I38" s="262"/>
      <c r="J38" s="262"/>
      <c r="K38" s="262"/>
      <c r="L38" s="262"/>
      <c r="M38" s="262"/>
      <c r="N38" s="262"/>
      <c r="O38" s="262"/>
      <c r="P38" s="262"/>
      <c r="Q38" s="262"/>
      <c r="R38" s="262"/>
      <c r="S38" s="262"/>
    </row>
    <row r="39" spans="1:22" s="272" customFormat="1" ht="22.95" customHeight="1" x14ac:dyDescent="0.2">
      <c r="B39" s="262"/>
      <c r="C39" s="268"/>
      <c r="D39" s="268"/>
      <c r="E39" s="268"/>
      <c r="F39" s="268"/>
      <c r="G39" s="262"/>
      <c r="H39" s="262"/>
      <c r="I39" s="262"/>
      <c r="J39" s="262"/>
      <c r="K39" s="262"/>
      <c r="L39" s="262"/>
      <c r="M39" s="262"/>
      <c r="N39" s="262"/>
      <c r="O39" s="262"/>
      <c r="P39" s="262"/>
      <c r="Q39" s="262"/>
      <c r="R39" s="262"/>
      <c r="S39" s="262"/>
    </row>
    <row r="40" spans="1:22" s="272" customFormat="1" ht="22.95" customHeight="1" x14ac:dyDescent="0.2">
      <c r="B40" s="262"/>
      <c r="C40" s="268" t="s">
        <v>417</v>
      </c>
      <c r="D40" s="268"/>
      <c r="E40" s="268"/>
      <c r="F40" s="268"/>
      <c r="G40" s="262"/>
      <c r="H40" s="262"/>
      <c r="I40" s="262"/>
      <c r="J40" s="262"/>
      <c r="K40" s="262"/>
      <c r="L40" s="262"/>
      <c r="M40" s="262"/>
      <c r="N40" s="262"/>
      <c r="O40" s="262"/>
      <c r="P40" s="262"/>
      <c r="Q40" s="262"/>
      <c r="R40" s="262"/>
      <c r="S40" s="262"/>
    </row>
    <row r="41" spans="1:22" s="272" customFormat="1" ht="22.95" customHeight="1" x14ac:dyDescent="0.2">
      <c r="B41" s="262"/>
      <c r="C41" s="268" t="s">
        <v>8</v>
      </c>
      <c r="D41" s="268"/>
      <c r="E41" s="268"/>
      <c r="F41" s="268"/>
      <c r="G41" s="262"/>
      <c r="H41" s="262"/>
      <c r="I41" s="262"/>
      <c r="J41" s="262"/>
      <c r="K41" s="262"/>
      <c r="L41" s="262"/>
      <c r="M41" s="262"/>
      <c r="N41" s="262"/>
      <c r="O41" s="262"/>
      <c r="P41" s="262"/>
      <c r="Q41" s="262"/>
      <c r="R41" s="262"/>
      <c r="S41" s="262"/>
    </row>
    <row r="42" spans="1:22" s="272" customFormat="1" ht="22.95" customHeight="1" x14ac:dyDescent="0.2">
      <c r="B42" s="262"/>
      <c r="C42" s="268" t="s">
        <v>9</v>
      </c>
      <c r="D42" s="268"/>
      <c r="E42" s="268"/>
      <c r="F42" s="268"/>
      <c r="G42" s="262"/>
      <c r="H42" s="262"/>
      <c r="I42" s="262"/>
      <c r="J42" s="262"/>
      <c r="K42" s="262"/>
      <c r="L42" s="262"/>
      <c r="M42" s="262"/>
      <c r="N42" s="262"/>
      <c r="O42" s="262"/>
      <c r="P42" s="262"/>
      <c r="Q42" s="262"/>
      <c r="R42" s="262"/>
      <c r="S42" s="262"/>
    </row>
    <row r="43" spans="1:22" s="272" customFormat="1" ht="22.95" customHeight="1" x14ac:dyDescent="0.2">
      <c r="B43" s="262"/>
      <c r="C43" s="268" t="s">
        <v>10</v>
      </c>
      <c r="D43" s="268"/>
      <c r="E43" s="268"/>
      <c r="F43" s="268"/>
      <c r="G43" s="262"/>
      <c r="H43" s="262"/>
      <c r="I43" s="262"/>
      <c r="J43" s="262"/>
      <c r="K43" s="262"/>
      <c r="L43" s="262"/>
      <c r="M43" s="262"/>
      <c r="N43" s="262"/>
      <c r="O43" s="262"/>
      <c r="P43" s="262"/>
      <c r="Q43" s="262"/>
      <c r="R43" s="262"/>
      <c r="S43" s="262"/>
    </row>
    <row r="44" spans="1:22" s="272" customFormat="1" ht="22.95" customHeight="1" x14ac:dyDescent="0.2">
      <c r="B44" s="262"/>
      <c r="C44" s="268" t="s">
        <v>11</v>
      </c>
      <c r="D44" s="268"/>
      <c r="E44" s="268"/>
      <c r="F44" s="268"/>
      <c r="G44" s="262"/>
      <c r="H44" s="262"/>
      <c r="I44" s="262"/>
      <c r="J44" s="262"/>
      <c r="K44" s="262"/>
      <c r="L44" s="262"/>
      <c r="M44" s="262"/>
      <c r="N44" s="262"/>
      <c r="O44" s="262"/>
      <c r="P44" s="262"/>
      <c r="Q44" s="262"/>
      <c r="R44" s="262"/>
      <c r="S44" s="262"/>
    </row>
    <row r="45" spans="1:22" s="272" customFormat="1" ht="22.95" customHeight="1" x14ac:dyDescent="0.2">
      <c r="B45" s="262"/>
      <c r="C45" s="268" t="s">
        <v>12</v>
      </c>
      <c r="D45" s="268"/>
      <c r="E45" s="268"/>
      <c r="F45" s="268"/>
      <c r="G45" s="262"/>
      <c r="H45" s="262"/>
      <c r="I45" s="262"/>
      <c r="J45" s="262"/>
      <c r="K45" s="262"/>
      <c r="L45" s="262"/>
      <c r="M45" s="262"/>
      <c r="N45" s="262"/>
      <c r="O45" s="262"/>
      <c r="P45" s="262"/>
      <c r="Q45" s="262"/>
      <c r="R45" s="262"/>
      <c r="S45" s="262"/>
    </row>
    <row r="46" spans="1:22" s="227" customFormat="1" ht="19.95" customHeight="1" x14ac:dyDescent="0.2">
      <c r="A46" s="274"/>
      <c r="B46" s="275"/>
      <c r="C46" s="275"/>
      <c r="D46" s="276"/>
      <c r="E46" s="276"/>
      <c r="F46" s="276"/>
      <c r="G46" s="276"/>
      <c r="H46" s="276"/>
      <c r="I46" s="276"/>
      <c r="J46" s="276"/>
      <c r="K46" s="276"/>
      <c r="L46" s="276"/>
      <c r="M46" s="276"/>
      <c r="N46" s="276"/>
      <c r="O46" s="276"/>
      <c r="P46" s="276"/>
      <c r="Q46" s="262"/>
      <c r="R46" s="262"/>
      <c r="S46" s="262"/>
    </row>
    <row r="47" spans="1:22" ht="24.75" customHeight="1" thickBot="1" x14ac:dyDescent="0.25">
      <c r="A47" s="14"/>
      <c r="B47" s="15"/>
      <c r="C47" s="15"/>
      <c r="D47" s="16"/>
      <c r="E47" s="16"/>
      <c r="F47" s="16"/>
      <c r="G47" s="16"/>
      <c r="H47" s="16"/>
      <c r="I47" s="16"/>
      <c r="J47" s="16"/>
      <c r="K47" s="16"/>
      <c r="L47" s="16"/>
      <c r="M47" s="16"/>
      <c r="N47" s="16"/>
      <c r="O47" s="16"/>
      <c r="P47" s="16"/>
    </row>
    <row r="48" spans="1:22" ht="30" customHeight="1" thickTop="1" thickBot="1" x14ac:dyDescent="0.25">
      <c r="A48" s="14"/>
      <c r="B48" s="15"/>
      <c r="C48" s="15"/>
      <c r="D48" s="16"/>
      <c r="E48" s="16"/>
      <c r="F48" s="16"/>
      <c r="G48" s="16"/>
      <c r="H48" s="16"/>
      <c r="I48" s="16"/>
      <c r="J48" s="16"/>
      <c r="K48" s="16"/>
      <c r="L48" s="16"/>
      <c r="M48" s="16"/>
      <c r="N48" s="16"/>
      <c r="O48" s="16"/>
      <c r="P48" s="16"/>
      <c r="Q48" s="259"/>
      <c r="R48" s="259"/>
      <c r="S48" s="307" t="str">
        <f>'1.基本データ(このシートは削除しないこと！)'!H1</f>
        <v>令和６年度様式（令和６年４月１日以降の入札公告から適用）</v>
      </c>
      <c r="T48" s="597" t="s">
        <v>3</v>
      </c>
      <c r="U48" s="598"/>
      <c r="V48" s="17" t="e">
        <f>SUM(F53:F121)</f>
        <v>#N/A</v>
      </c>
    </row>
    <row r="49" spans="1:42" ht="14.25" customHeight="1" thickTop="1" x14ac:dyDescent="0.2">
      <c r="A49" s="19"/>
      <c r="B49" s="419" t="s">
        <v>252</v>
      </c>
      <c r="C49" s="419"/>
      <c r="D49" s="419"/>
      <c r="E49" s="419"/>
      <c r="F49" s="419"/>
      <c r="G49" s="419"/>
      <c r="H49" s="419"/>
      <c r="I49" s="212"/>
      <c r="J49" s="212"/>
      <c r="K49" s="212"/>
      <c r="L49" s="212"/>
      <c r="M49" s="212"/>
      <c r="N49" s="212"/>
      <c r="O49" s="212"/>
      <c r="P49" s="212"/>
      <c r="Q49" s="20"/>
      <c r="S49" s="170" t="s">
        <v>414</v>
      </c>
    </row>
    <row r="50" spans="1:42" ht="16.5" customHeight="1" x14ac:dyDescent="0.2">
      <c r="A50" s="19"/>
      <c r="B50" s="420" t="s">
        <v>138</v>
      </c>
      <c r="C50" s="420"/>
      <c r="D50" s="420"/>
      <c r="E50" s="388" t="str">
        <f>'1.基本データ(このシートは削除しないこと！)'!H14&amp;'1.基本データ(このシートは削除しないこと！)'!H15</f>
        <v>第○○-○○○○○-○○○○号 ○○○○○○○○○○○○工事</v>
      </c>
      <c r="F50" s="388"/>
      <c r="G50" s="388"/>
      <c r="H50" s="388"/>
      <c r="I50" s="388"/>
      <c r="J50" s="388"/>
      <c r="K50" s="388"/>
      <c r="L50" s="388"/>
      <c r="M50" s="388"/>
      <c r="N50" s="388"/>
      <c r="O50" s="388"/>
      <c r="P50" s="388"/>
      <c r="Q50" s="388"/>
      <c r="R50" s="388"/>
    </row>
    <row r="51" spans="1:42" ht="16.5" customHeight="1" thickBot="1" x14ac:dyDescent="0.25">
      <c r="A51" s="19"/>
      <c r="B51" s="431" t="s">
        <v>139</v>
      </c>
      <c r="C51" s="431"/>
      <c r="D51" s="431"/>
      <c r="E51" s="257" t="str">
        <f>IF('1.基本データ(このシートは削除しないこと！)'!H11=0,'1.基本データ(このシートは削除しないこと！)'!H7,'1.基本データ(このシートは削除しないこと！)'!H11)</f>
        <v>○○・△△特定建設工事共同企業体</v>
      </c>
      <c r="F51" s="258"/>
      <c r="G51" s="258"/>
      <c r="H51" s="258"/>
      <c r="I51" s="258"/>
      <c r="J51" s="258"/>
      <c r="K51" s="258"/>
      <c r="L51" s="258"/>
      <c r="M51" s="258"/>
      <c r="N51" s="258"/>
      <c r="O51" s="258"/>
      <c r="P51" s="258"/>
      <c r="Q51" s="258"/>
      <c r="R51" s="258"/>
      <c r="S51" s="19"/>
    </row>
    <row r="52" spans="1:42" ht="22.5" customHeight="1" thickBot="1" x14ac:dyDescent="0.25">
      <c r="A52" s="19"/>
      <c r="B52" s="529" t="s">
        <v>1</v>
      </c>
      <c r="C52" s="529"/>
      <c r="D52" s="529"/>
      <c r="E52" s="22" t="s">
        <v>168</v>
      </c>
      <c r="F52" s="173" t="s">
        <v>2</v>
      </c>
      <c r="G52" s="606" t="s">
        <v>379</v>
      </c>
      <c r="H52" s="607"/>
      <c r="I52" s="607"/>
      <c r="J52" s="607"/>
      <c r="K52" s="607"/>
      <c r="L52" s="607"/>
      <c r="M52" s="607"/>
      <c r="N52" s="607"/>
      <c r="O52" s="607"/>
      <c r="P52" s="607"/>
      <c r="Q52" s="607"/>
      <c r="R52" s="607"/>
      <c r="S52" s="608"/>
      <c r="V52" s="23" t="s">
        <v>135</v>
      </c>
      <c r="AB52" s="24"/>
      <c r="AC52" s="24"/>
      <c r="AD52" s="25" t="s">
        <v>170</v>
      </c>
      <c r="AE52" s="210" t="s">
        <v>171</v>
      </c>
      <c r="AG52" s="24"/>
      <c r="AH52" s="24"/>
      <c r="AP52" s="26" t="s">
        <v>172</v>
      </c>
    </row>
    <row r="53" spans="1:42" ht="32.1" customHeight="1" thickBot="1" x14ac:dyDescent="0.2">
      <c r="A53" s="19"/>
      <c r="B53" s="508" t="s">
        <v>217</v>
      </c>
      <c r="C53" s="514" t="s">
        <v>392</v>
      </c>
      <c r="D53" s="514"/>
      <c r="E53" s="366">
        <f>AD53</f>
        <v>1</v>
      </c>
      <c r="F53" s="402" t="str">
        <f>IF(Y53=0,"-",AP53)</f>
        <v>-</v>
      </c>
      <c r="G53" s="385" t="s">
        <v>235</v>
      </c>
      <c r="H53" s="386"/>
      <c r="I53" s="545"/>
      <c r="J53" s="546"/>
      <c r="K53" s="546"/>
      <c r="L53" s="546"/>
      <c r="M53" s="546"/>
      <c r="N53" s="546"/>
      <c r="O53" s="546"/>
      <c r="P53" s="546"/>
      <c r="Q53" s="547"/>
      <c r="R53" s="250" t="s">
        <v>285</v>
      </c>
      <c r="S53" s="350"/>
      <c r="V53" s="27">
        <f>IF(I53="",0,1)</f>
        <v>0</v>
      </c>
      <c r="W53" s="27">
        <f>IF(S53="",0,1)</f>
        <v>0</v>
      </c>
      <c r="X53" s="28"/>
      <c r="Y53" s="29">
        <f>SUM(V53:W55)</f>
        <v>0</v>
      </c>
      <c r="Z53" s="30" t="s">
        <v>200</v>
      </c>
      <c r="AA53" s="31"/>
      <c r="AB53" s="32"/>
      <c r="AC53" s="33"/>
      <c r="AD53" s="34">
        <v>1</v>
      </c>
      <c r="AE53" s="35">
        <f>IF(Y53=4,AD53,0)</f>
        <v>0</v>
      </c>
      <c r="AG53" s="32"/>
      <c r="AH53" s="32"/>
      <c r="AP53" s="36">
        <f>IF(Y53=4,AE53,0)</f>
        <v>0</v>
      </c>
    </row>
    <row r="54" spans="1:42" ht="32.1" customHeight="1" thickBot="1" x14ac:dyDescent="0.25">
      <c r="A54" s="19"/>
      <c r="B54" s="509"/>
      <c r="C54" s="514"/>
      <c r="D54" s="514"/>
      <c r="E54" s="403"/>
      <c r="F54" s="402"/>
      <c r="G54" s="383" t="s">
        <v>361</v>
      </c>
      <c r="H54" s="384"/>
      <c r="I54" s="548"/>
      <c r="J54" s="549"/>
      <c r="K54" s="549"/>
      <c r="L54" s="549"/>
      <c r="M54" s="162" t="s">
        <v>279</v>
      </c>
      <c r="N54" s="549"/>
      <c r="O54" s="549"/>
      <c r="P54" s="549"/>
      <c r="Q54" s="550"/>
      <c r="R54" s="599" t="s">
        <v>292</v>
      </c>
      <c r="S54" s="387"/>
      <c r="V54" s="27">
        <f>IF(AND(I54&lt;&gt;"",N54&lt;&gt;""),1,0)</f>
        <v>0</v>
      </c>
      <c r="W54" s="37"/>
      <c r="X54" s="31"/>
      <c r="Y54" s="31"/>
      <c r="Z54" s="30"/>
      <c r="AA54" s="31"/>
      <c r="AB54" s="32"/>
      <c r="AC54" s="38"/>
      <c r="AD54" s="39"/>
      <c r="AE54" s="40"/>
      <c r="AG54" s="32"/>
      <c r="AH54" s="32"/>
      <c r="AI54" s="32"/>
      <c r="AJ54" s="32"/>
      <c r="AL54" s="81" t="s">
        <v>164</v>
      </c>
      <c r="AM54" s="81" t="s">
        <v>147</v>
      </c>
      <c r="AP54" s="41"/>
    </row>
    <row r="55" spans="1:42" ht="32.1" customHeight="1" thickBot="1" x14ac:dyDescent="0.25">
      <c r="A55" s="19"/>
      <c r="B55" s="509"/>
      <c r="C55" s="514"/>
      <c r="D55" s="514"/>
      <c r="E55" s="403"/>
      <c r="F55" s="402"/>
      <c r="G55" s="379" t="s">
        <v>282</v>
      </c>
      <c r="H55" s="380"/>
      <c r="I55" s="518"/>
      <c r="J55" s="519"/>
      <c r="K55" s="520" t="s">
        <v>281</v>
      </c>
      <c r="L55" s="521"/>
      <c r="M55" s="522" t="s">
        <v>316</v>
      </c>
      <c r="N55" s="523"/>
      <c r="O55" s="523"/>
      <c r="P55" s="242" t="s">
        <v>317</v>
      </c>
      <c r="Q55" s="175" t="s">
        <v>318</v>
      </c>
      <c r="R55" s="600"/>
      <c r="S55" s="351"/>
      <c r="V55" s="27">
        <f>IF(I55="",0,1)</f>
        <v>0</v>
      </c>
      <c r="W55" s="42"/>
      <c r="X55" s="31"/>
      <c r="Y55" s="31"/>
      <c r="AA55" s="31"/>
      <c r="AB55" s="32"/>
      <c r="AC55" s="38"/>
      <c r="AD55" s="25" t="s">
        <v>164</v>
      </c>
      <c r="AE55" s="210" t="s">
        <v>147</v>
      </c>
      <c r="AG55" s="32"/>
      <c r="AH55" s="32"/>
      <c r="AI55" s="179" t="s">
        <v>355</v>
      </c>
      <c r="AJ55" s="182"/>
      <c r="AK55" s="181">
        <f>IF($I$58=AI55,1,0)</f>
        <v>0</v>
      </c>
      <c r="AL55" s="27">
        <v>0.75</v>
      </c>
      <c r="AM55" s="48">
        <f>AK55*AL55</f>
        <v>0</v>
      </c>
      <c r="AP55" s="26" t="s">
        <v>167</v>
      </c>
    </row>
    <row r="56" spans="1:42" ht="32.1" customHeight="1" thickBot="1" x14ac:dyDescent="0.2">
      <c r="A56" s="19"/>
      <c r="B56" s="509"/>
      <c r="C56" s="513" t="s">
        <v>191</v>
      </c>
      <c r="D56" s="513"/>
      <c r="E56" s="366">
        <f>AD56</f>
        <v>1</v>
      </c>
      <c r="F56" s="511" t="str">
        <f>IF(Y56=0,"-",AP56)</f>
        <v>-</v>
      </c>
      <c r="G56" s="383" t="s">
        <v>320</v>
      </c>
      <c r="H56" s="384"/>
      <c r="I56" s="176" t="s">
        <v>276</v>
      </c>
      <c r="J56" s="277"/>
      <c r="K56" s="177" t="s">
        <v>277</v>
      </c>
      <c r="L56" s="590"/>
      <c r="M56" s="591"/>
      <c r="N56" s="177" t="s">
        <v>277</v>
      </c>
      <c r="O56" s="592"/>
      <c r="P56" s="591"/>
      <c r="Q56" s="178" t="s">
        <v>278</v>
      </c>
      <c r="R56" s="250" t="s">
        <v>285</v>
      </c>
      <c r="S56" s="350"/>
      <c r="V56" s="27">
        <f>IF(AND(J56&lt;&gt;"",L56&lt;&gt;"",O56&lt;&gt;""),1,0)</f>
        <v>0</v>
      </c>
      <c r="W56" s="27">
        <f>IF(S56="",0,1)</f>
        <v>0</v>
      </c>
      <c r="X56" s="28"/>
      <c r="Y56" s="29">
        <f>SUM(V56:W58)</f>
        <v>0</v>
      </c>
      <c r="Z56" s="30" t="s">
        <v>200</v>
      </c>
      <c r="AB56" s="32"/>
      <c r="AC56" s="179" t="s">
        <v>356</v>
      </c>
      <c r="AD56" s="180">
        <v>1</v>
      </c>
      <c r="AE56" s="181">
        <f>IF($I$58=AC56,1,0)</f>
        <v>0</v>
      </c>
      <c r="AF56" s="27">
        <v>1</v>
      </c>
      <c r="AG56" s="48">
        <f>AE56*AF56</f>
        <v>0</v>
      </c>
      <c r="AI56" s="179" t="s">
        <v>280</v>
      </c>
      <c r="AJ56" s="182"/>
      <c r="AK56" s="181">
        <f>IF($I$58=AI56,1,0)</f>
        <v>0</v>
      </c>
      <c r="AL56" s="27">
        <v>0.5</v>
      </c>
      <c r="AM56" s="48">
        <f>AK56*AL56</f>
        <v>0</v>
      </c>
      <c r="AP56" s="36">
        <f>IF(Y56=4,MAX(AG56,AM55:AM56),0)</f>
        <v>0</v>
      </c>
    </row>
    <row r="57" spans="1:42" ht="32.1" customHeight="1" thickBot="1" x14ac:dyDescent="0.25">
      <c r="A57" s="19"/>
      <c r="B57" s="509"/>
      <c r="C57" s="513"/>
      <c r="D57" s="513"/>
      <c r="E57" s="403"/>
      <c r="F57" s="512"/>
      <c r="G57" s="383" t="s">
        <v>360</v>
      </c>
      <c r="H57" s="384"/>
      <c r="I57" s="428"/>
      <c r="J57" s="429"/>
      <c r="K57" s="429"/>
      <c r="L57" s="429"/>
      <c r="M57" s="177" t="s">
        <v>279</v>
      </c>
      <c r="N57" s="429"/>
      <c r="O57" s="429"/>
      <c r="P57" s="429"/>
      <c r="Q57" s="430"/>
      <c r="R57" s="599" t="s">
        <v>292</v>
      </c>
      <c r="S57" s="387"/>
      <c r="V57" s="27">
        <f>IF(AND(I57&lt;&gt;"",N57&lt;&gt;""),1,0)</f>
        <v>0</v>
      </c>
      <c r="W57" s="37"/>
      <c r="X57" s="31"/>
      <c r="Y57" s="31"/>
      <c r="Z57" s="30"/>
      <c r="AB57" s="43"/>
      <c r="AC57" s="44"/>
      <c r="AD57" s="45"/>
      <c r="AE57" s="45"/>
      <c r="AG57" s="32"/>
      <c r="AH57" s="32"/>
    </row>
    <row r="58" spans="1:42" ht="32.1" customHeight="1" thickBot="1" x14ac:dyDescent="0.25">
      <c r="A58" s="19"/>
      <c r="B58" s="509"/>
      <c r="C58" s="513"/>
      <c r="D58" s="513"/>
      <c r="E58" s="403"/>
      <c r="F58" s="512"/>
      <c r="G58" s="383" t="s">
        <v>389</v>
      </c>
      <c r="H58" s="384"/>
      <c r="I58" s="601" t="s">
        <v>275</v>
      </c>
      <c r="J58" s="602"/>
      <c r="K58" s="602"/>
      <c r="L58" s="602"/>
      <c r="M58" s="603" t="s">
        <v>393</v>
      </c>
      <c r="N58" s="604"/>
      <c r="O58" s="604"/>
      <c r="P58" s="604"/>
      <c r="Q58" s="605"/>
      <c r="R58" s="600"/>
      <c r="S58" s="351"/>
      <c r="V58" s="27">
        <f>IF(I58="-",0,1)</f>
        <v>0</v>
      </c>
      <c r="W58" s="42" t="s">
        <v>255</v>
      </c>
      <c r="X58" s="31"/>
      <c r="Y58" s="31"/>
      <c r="AB58" s="43"/>
      <c r="AC58" s="31"/>
      <c r="AD58" s="25" t="s">
        <v>164</v>
      </c>
      <c r="AE58" s="210" t="s">
        <v>147</v>
      </c>
      <c r="AG58" s="32"/>
      <c r="AH58" s="32"/>
      <c r="AP58" s="26" t="s">
        <v>167</v>
      </c>
    </row>
    <row r="59" spans="1:42" ht="32.1" customHeight="1" thickBot="1" x14ac:dyDescent="0.25">
      <c r="A59" s="19"/>
      <c r="B59" s="509"/>
      <c r="C59" s="541" t="s">
        <v>192</v>
      </c>
      <c r="D59" s="542"/>
      <c r="E59" s="366">
        <f>AD59</f>
        <v>1</v>
      </c>
      <c r="F59" s="364" t="str">
        <f>IF(Y59=0,"-",AP59)</f>
        <v>-</v>
      </c>
      <c r="G59" s="379" t="s">
        <v>283</v>
      </c>
      <c r="H59" s="380"/>
      <c r="I59" s="425"/>
      <c r="J59" s="426"/>
      <c r="K59" s="426"/>
      <c r="L59" s="426"/>
      <c r="M59" s="426"/>
      <c r="N59" s="426"/>
      <c r="O59" s="426"/>
      <c r="P59" s="426"/>
      <c r="Q59" s="427"/>
      <c r="R59" s="400" t="s">
        <v>396</v>
      </c>
      <c r="S59" s="350"/>
      <c r="V59" s="27">
        <f>IF(I59="",0,1)</f>
        <v>0</v>
      </c>
      <c r="W59" s="27">
        <f>IF(S59="",0,1)</f>
        <v>0</v>
      </c>
      <c r="X59" s="31"/>
      <c r="Y59" s="29">
        <f>SUM(V59:W60)</f>
        <v>0</v>
      </c>
      <c r="Z59" s="30" t="s">
        <v>388</v>
      </c>
      <c r="AA59" s="46"/>
      <c r="AB59" s="43"/>
      <c r="AC59" s="38"/>
      <c r="AD59" s="34">
        <v>1</v>
      </c>
      <c r="AE59" s="35">
        <f>IF(Y59=3,AD59,0)</f>
        <v>0</v>
      </c>
      <c r="AG59" s="32"/>
      <c r="AH59" s="32"/>
      <c r="AP59" s="36">
        <f>IF(Y59=3,AE59,0)</f>
        <v>0</v>
      </c>
    </row>
    <row r="60" spans="1:42" ht="32.1" customHeight="1" thickBot="1" x14ac:dyDescent="0.25">
      <c r="A60" s="19"/>
      <c r="B60" s="509"/>
      <c r="C60" s="543"/>
      <c r="D60" s="544"/>
      <c r="E60" s="367"/>
      <c r="F60" s="365"/>
      <c r="G60" s="379" t="s">
        <v>194</v>
      </c>
      <c r="H60" s="380"/>
      <c r="I60" s="425"/>
      <c r="J60" s="426"/>
      <c r="K60" s="426"/>
      <c r="L60" s="426"/>
      <c r="M60" s="426"/>
      <c r="N60" s="426"/>
      <c r="O60" s="426"/>
      <c r="P60" s="426"/>
      <c r="Q60" s="427"/>
      <c r="R60" s="401"/>
      <c r="S60" s="351"/>
      <c r="V60" s="27">
        <f>IF(I60="",0,1)</f>
        <v>0</v>
      </c>
      <c r="W60" s="42"/>
      <c r="X60" s="31"/>
      <c r="Y60" s="31"/>
      <c r="AA60" s="46"/>
      <c r="AB60" s="43"/>
      <c r="AC60" s="38"/>
      <c r="AD60" s="39"/>
      <c r="AE60" s="39"/>
      <c r="AG60" s="32"/>
      <c r="AH60" s="32"/>
      <c r="AP60" s="26" t="s">
        <v>167</v>
      </c>
    </row>
    <row r="61" spans="1:42" ht="32.1" customHeight="1" thickBot="1" x14ac:dyDescent="0.25">
      <c r="A61" s="19"/>
      <c r="B61" s="509"/>
      <c r="C61" s="513" t="s">
        <v>195</v>
      </c>
      <c r="D61" s="513"/>
      <c r="E61" s="217">
        <f>AD61</f>
        <v>0.5</v>
      </c>
      <c r="F61" s="211" t="str">
        <f>AP61</f>
        <v>-</v>
      </c>
      <c r="G61" s="463" t="s">
        <v>390</v>
      </c>
      <c r="H61" s="538"/>
      <c r="I61" s="524" t="s">
        <v>275</v>
      </c>
      <c r="J61" s="525"/>
      <c r="K61" s="525"/>
      <c r="L61" s="525"/>
      <c r="M61" s="525"/>
      <c r="N61" s="525"/>
      <c r="O61" s="525"/>
      <c r="P61" s="525"/>
      <c r="Q61" s="526"/>
      <c r="R61" s="515"/>
      <c r="S61" s="516"/>
      <c r="V61" s="27">
        <f>IF(I61="有",1,0)</f>
        <v>0</v>
      </c>
      <c r="W61" s="30" t="s">
        <v>173</v>
      </c>
      <c r="AB61" s="47"/>
      <c r="AC61" s="47"/>
      <c r="AD61" s="48">
        <v>0.5</v>
      </c>
      <c r="AE61" s="49"/>
      <c r="AG61" s="47"/>
      <c r="AH61" s="47"/>
      <c r="AI61" s="47"/>
      <c r="AJ61" s="47"/>
      <c r="AK61" s="47"/>
      <c r="AP61" s="50" t="str">
        <f>IF(V61=1,AD61,"-")</f>
        <v>-</v>
      </c>
    </row>
    <row r="62" spans="1:42" ht="50.1" customHeight="1" thickBot="1" x14ac:dyDescent="0.25">
      <c r="A62" s="19"/>
      <c r="B62" s="509"/>
      <c r="C62" s="394" t="s">
        <v>196</v>
      </c>
      <c r="D62" s="394"/>
      <c r="E62" s="304">
        <f>AD62</f>
        <v>0.5</v>
      </c>
      <c r="F62" s="305" t="str">
        <f>AP62</f>
        <v>-</v>
      </c>
      <c r="G62" s="536" t="s">
        <v>447</v>
      </c>
      <c r="H62" s="537"/>
      <c r="I62" s="537"/>
      <c r="J62" s="537"/>
      <c r="K62" s="537"/>
      <c r="L62" s="537"/>
      <c r="M62" s="537"/>
      <c r="N62" s="537"/>
      <c r="O62" s="537"/>
      <c r="P62" s="537"/>
      <c r="Q62" s="537"/>
      <c r="R62" s="168" t="s">
        <v>380</v>
      </c>
      <c r="S62" s="195" t="s">
        <v>275</v>
      </c>
      <c r="V62" s="51">
        <f>IF(OR(S62="標準型：9名以上　(簡易型：4名以上)",S62="技能士あり"),1,0)</f>
        <v>0</v>
      </c>
      <c r="W62" s="30" t="s">
        <v>173</v>
      </c>
      <c r="AB62" s="47"/>
      <c r="AC62" s="47"/>
      <c r="AD62" s="52">
        <v>0.5</v>
      </c>
      <c r="AE62" s="49"/>
      <c r="AG62" s="47"/>
      <c r="AH62" s="47"/>
      <c r="AI62" s="47"/>
      <c r="AJ62" s="47"/>
      <c r="AK62" s="47"/>
      <c r="AP62" s="53" t="str">
        <f t="shared" ref="AP62:AP63" si="0">IF(V62=1,AD62,"-")</f>
        <v>-</v>
      </c>
    </row>
    <row r="63" spans="1:42" ht="32.1" customHeight="1" thickBot="1" x14ac:dyDescent="0.25">
      <c r="A63" s="19"/>
      <c r="B63" s="510"/>
      <c r="C63" s="383" t="s">
        <v>304</v>
      </c>
      <c r="D63" s="517"/>
      <c r="E63" s="171">
        <f>AD63</f>
        <v>0.25</v>
      </c>
      <c r="F63" s="174" t="str">
        <f>AP63</f>
        <v>-</v>
      </c>
      <c r="G63" s="527" t="s">
        <v>427</v>
      </c>
      <c r="H63" s="528"/>
      <c r="I63" s="528"/>
      <c r="J63" s="528"/>
      <c r="K63" s="528"/>
      <c r="L63" s="528"/>
      <c r="M63" s="528"/>
      <c r="N63" s="528"/>
      <c r="O63" s="528"/>
      <c r="P63" s="528"/>
      <c r="Q63" s="528"/>
      <c r="R63" s="169" t="s">
        <v>381</v>
      </c>
      <c r="S63" s="196" t="s">
        <v>275</v>
      </c>
      <c r="V63" s="27">
        <f>IF(S63="有",1,0)</f>
        <v>0</v>
      </c>
      <c r="W63" s="42"/>
      <c r="X63" s="31"/>
      <c r="AD63" s="48">
        <v>0.25</v>
      </c>
      <c r="AE63" s="54"/>
      <c r="AG63" s="32"/>
      <c r="AH63" s="32"/>
      <c r="AP63" s="55" t="str">
        <f t="shared" si="0"/>
        <v>-</v>
      </c>
    </row>
    <row r="64" spans="1:42" ht="32.1" customHeight="1" thickBot="1" x14ac:dyDescent="0.25">
      <c r="A64" s="19"/>
      <c r="B64" s="510"/>
      <c r="C64" s="383" t="s">
        <v>391</v>
      </c>
      <c r="D64" s="517"/>
      <c r="E64" s="171">
        <f t="shared" ref="E64" si="1">AD64</f>
        <v>0.25</v>
      </c>
      <c r="F64" s="174" t="str">
        <f>IF('1.基本データ(このシートは削除しないこと！)'!H16=1,AP64,"-")</f>
        <v>-</v>
      </c>
      <c r="G64" s="527" t="s">
        <v>448</v>
      </c>
      <c r="H64" s="528"/>
      <c r="I64" s="528"/>
      <c r="J64" s="528"/>
      <c r="K64" s="528"/>
      <c r="L64" s="528"/>
      <c r="M64" s="528"/>
      <c r="N64" s="528"/>
      <c r="O64" s="528"/>
      <c r="P64" s="528"/>
      <c r="Q64" s="528"/>
      <c r="R64" s="169" t="s">
        <v>382</v>
      </c>
      <c r="S64" s="196" t="s">
        <v>275</v>
      </c>
      <c r="V64" s="27">
        <f>IF(S64="有",1,0)</f>
        <v>0</v>
      </c>
      <c r="W64" s="31"/>
      <c r="X64" s="31"/>
      <c r="AD64" s="48">
        <v>0.25</v>
      </c>
      <c r="AE64" s="56">
        <f>IF('1.基本データ(このシートは削除しないこと！)'!H16=1,1,0)</f>
        <v>0</v>
      </c>
      <c r="AF64" s="18">
        <f>AD64*AE64</f>
        <v>0</v>
      </c>
      <c r="AG64" s="32"/>
      <c r="AH64" s="32"/>
      <c r="AL64" s="81" t="s">
        <v>164</v>
      </c>
      <c r="AM64" s="81" t="s">
        <v>147</v>
      </c>
      <c r="AP64" s="55" t="str">
        <f>IF(V64=1,AF64,"-")</f>
        <v>-</v>
      </c>
    </row>
    <row r="65" spans="1:42" ht="32.1" customHeight="1" thickBot="1" x14ac:dyDescent="0.25">
      <c r="A65" s="19"/>
      <c r="B65" s="510"/>
      <c r="C65" s="383" t="s">
        <v>305</v>
      </c>
      <c r="D65" s="517"/>
      <c r="E65" s="171">
        <f>AD65</f>
        <v>0.25</v>
      </c>
      <c r="F65" s="174" t="str">
        <f>AP65</f>
        <v>-</v>
      </c>
      <c r="G65" s="527" t="s">
        <v>303</v>
      </c>
      <c r="H65" s="528"/>
      <c r="I65" s="528"/>
      <c r="J65" s="528"/>
      <c r="K65" s="528"/>
      <c r="L65" s="528"/>
      <c r="M65" s="528"/>
      <c r="N65" s="528"/>
      <c r="O65" s="528"/>
      <c r="P65" s="528"/>
      <c r="Q65" s="528"/>
      <c r="R65" s="169" t="s">
        <v>382</v>
      </c>
      <c r="S65" s="196" t="s">
        <v>275</v>
      </c>
      <c r="V65" s="27">
        <f>IF(S65="有",1,0)</f>
        <v>0</v>
      </c>
      <c r="W65" s="31"/>
      <c r="X65" s="31"/>
      <c r="AD65" s="48">
        <v>0.25</v>
      </c>
      <c r="AG65" s="32"/>
      <c r="AH65" s="32"/>
      <c r="AJ65" s="278" t="s">
        <v>432</v>
      </c>
      <c r="AK65" s="181">
        <f>IF($S$66=AJ65,1,0)</f>
        <v>0</v>
      </c>
      <c r="AL65" s="27">
        <v>0.5</v>
      </c>
      <c r="AM65" s="48">
        <f>AK65*AL65*AE66</f>
        <v>0</v>
      </c>
      <c r="AP65" s="160" t="str">
        <f>IF(V65=1,AD65,"-")</f>
        <v>-</v>
      </c>
    </row>
    <row r="66" spans="1:42" ht="32.1" customHeight="1" thickBot="1" x14ac:dyDescent="0.25">
      <c r="A66" s="19"/>
      <c r="B66" s="510"/>
      <c r="C66" s="383" t="s">
        <v>253</v>
      </c>
      <c r="D66" s="517"/>
      <c r="E66" s="171">
        <f>AD66</f>
        <v>0.5</v>
      </c>
      <c r="F66" s="174" t="str">
        <f>IF('1.基本データ(このシートは削除しないこと！)'!H16=1,AP66,"-")</f>
        <v>-</v>
      </c>
      <c r="G66" s="527" t="s">
        <v>449</v>
      </c>
      <c r="H66" s="528"/>
      <c r="I66" s="528"/>
      <c r="J66" s="528"/>
      <c r="K66" s="528"/>
      <c r="L66" s="528"/>
      <c r="M66" s="528"/>
      <c r="N66" s="528"/>
      <c r="O66" s="528"/>
      <c r="P66" s="528"/>
      <c r="Q66" s="528"/>
      <c r="R66" s="169" t="s">
        <v>383</v>
      </c>
      <c r="S66" s="196" t="s">
        <v>275</v>
      </c>
      <c r="V66" s="27">
        <f>IF(S66="-",0,1)</f>
        <v>0</v>
      </c>
      <c r="W66" s="31"/>
      <c r="X66" s="31"/>
      <c r="AD66" s="48">
        <v>0.5</v>
      </c>
      <c r="AE66" s="56">
        <f>IF('1.基本データ(このシートは削除しないこと！)'!H16=1,1,0)</f>
        <v>0</v>
      </c>
      <c r="AG66" s="32"/>
      <c r="AH66" s="32"/>
      <c r="AJ66" s="278" t="s">
        <v>433</v>
      </c>
      <c r="AK66" s="181">
        <f>IF($S$66=AJ66,1,0)</f>
        <v>0</v>
      </c>
      <c r="AL66" s="27">
        <v>0.25</v>
      </c>
      <c r="AM66" s="48">
        <f>AK66*AL66*AE66</f>
        <v>0</v>
      </c>
      <c r="AP66" s="58" t="str">
        <f>IF(V66=1,MAX(AM65:AM66),"-")</f>
        <v>-</v>
      </c>
    </row>
    <row r="67" spans="1:42" ht="24.9" customHeight="1" thickBot="1" x14ac:dyDescent="0.25">
      <c r="A67" s="19"/>
      <c r="B67" s="391" t="s">
        <v>218</v>
      </c>
      <c r="C67" s="551" t="s">
        <v>239</v>
      </c>
      <c r="D67" s="396" t="s">
        <v>240</v>
      </c>
      <c r="E67" s="245"/>
      <c r="F67" s="245"/>
      <c r="G67" s="539" t="s">
        <v>428</v>
      </c>
      <c r="H67" s="540"/>
      <c r="I67" s="530" t="s">
        <v>198</v>
      </c>
      <c r="J67" s="531"/>
      <c r="K67" s="531"/>
      <c r="L67" s="531"/>
      <c r="M67" s="531"/>
      <c r="N67" s="531"/>
      <c r="O67" s="531"/>
      <c r="P67" s="531"/>
      <c r="Q67" s="531"/>
      <c r="R67" s="532"/>
      <c r="S67" s="183" t="s">
        <v>429</v>
      </c>
      <c r="AD67" s="59" t="s">
        <v>164</v>
      </c>
      <c r="AP67" s="26" t="s">
        <v>167</v>
      </c>
    </row>
    <row r="68" spans="1:42" ht="32.1" customHeight="1" thickBot="1" x14ac:dyDescent="0.25">
      <c r="A68" s="19"/>
      <c r="B68" s="392"/>
      <c r="C68" s="552"/>
      <c r="D68" s="396"/>
      <c r="E68" s="366">
        <f>AD68</f>
        <v>0.5</v>
      </c>
      <c r="F68" s="397" t="str">
        <f>IF(SUM(Z68:Z70)=0,"-",AP68)</f>
        <v>-</v>
      </c>
      <c r="G68" s="342"/>
      <c r="H68" s="343"/>
      <c r="I68" s="533"/>
      <c r="J68" s="534"/>
      <c r="K68" s="534"/>
      <c r="L68" s="534"/>
      <c r="M68" s="534"/>
      <c r="N68" s="534"/>
      <c r="O68" s="534"/>
      <c r="P68" s="534"/>
      <c r="Q68" s="534"/>
      <c r="R68" s="535"/>
      <c r="S68" s="197"/>
      <c r="V68" s="29">
        <f>IF(G68="",0,1)</f>
        <v>0</v>
      </c>
      <c r="W68" s="60">
        <f>IF(I68="",0,1)</f>
        <v>0</v>
      </c>
      <c r="X68" s="27">
        <f>IF(S68&gt;=10,1,0)</f>
        <v>0</v>
      </c>
      <c r="Y68" s="28"/>
      <c r="Z68" s="29">
        <f>SUM(V68:X68)</f>
        <v>0</v>
      </c>
      <c r="AA68" s="30" t="s">
        <v>251</v>
      </c>
      <c r="AD68" s="61">
        <v>0.5</v>
      </c>
      <c r="AP68" s="62">
        <f>IF(OR(Z68=3,Z69=3,Z70=3),AD68,0)</f>
        <v>0</v>
      </c>
    </row>
    <row r="69" spans="1:42" ht="32.1" customHeight="1" thickBot="1" x14ac:dyDescent="0.25">
      <c r="A69" s="19"/>
      <c r="B69" s="392"/>
      <c r="C69" s="552"/>
      <c r="D69" s="395"/>
      <c r="E69" s="403"/>
      <c r="F69" s="398"/>
      <c r="G69" s="344" t="s">
        <v>426</v>
      </c>
      <c r="H69" s="345"/>
      <c r="I69" s="413"/>
      <c r="J69" s="414"/>
      <c r="K69" s="414"/>
      <c r="L69" s="414"/>
      <c r="M69" s="414"/>
      <c r="N69" s="414"/>
      <c r="O69" s="414"/>
      <c r="P69" s="414"/>
      <c r="Q69" s="414"/>
      <c r="R69" s="415"/>
      <c r="S69" s="198"/>
      <c r="V69" s="63" t="s">
        <v>254</v>
      </c>
      <c r="W69" s="27">
        <f>IF(I69="",0,1)</f>
        <v>0</v>
      </c>
      <c r="X69" s="27">
        <f>IF(S69&gt;=10,1,0)</f>
        <v>0</v>
      </c>
      <c r="Y69" s="64"/>
      <c r="Z69" s="29">
        <f>V68+SUM(W69:X69)</f>
        <v>0</v>
      </c>
      <c r="AA69" s="30" t="s">
        <v>251</v>
      </c>
      <c r="AD69" s="65"/>
      <c r="AP69" s="24"/>
    </row>
    <row r="70" spans="1:42" ht="32.1" customHeight="1" thickBot="1" x14ac:dyDescent="0.25">
      <c r="A70" s="19"/>
      <c r="B70" s="392"/>
      <c r="C70" s="552"/>
      <c r="D70" s="394" t="s">
        <v>241</v>
      </c>
      <c r="E70" s="403"/>
      <c r="F70" s="398"/>
      <c r="G70" s="360" t="s">
        <v>199</v>
      </c>
      <c r="H70" s="361"/>
      <c r="I70" s="586" t="s">
        <v>302</v>
      </c>
      <c r="J70" s="587"/>
      <c r="K70" s="587"/>
      <c r="L70" s="587"/>
      <c r="M70" s="587"/>
      <c r="N70" s="587"/>
      <c r="O70" s="587"/>
      <c r="P70" s="587"/>
      <c r="Q70" s="587"/>
      <c r="R70" s="588"/>
      <c r="S70" s="199"/>
      <c r="V70" s="31"/>
      <c r="W70" s="66"/>
      <c r="X70" s="27">
        <f>IF(S70="",0,1)</f>
        <v>0</v>
      </c>
      <c r="Y70" s="27">
        <f>IF(S71="",0,1)</f>
        <v>0</v>
      </c>
      <c r="Z70" s="29">
        <f>V68+SUM(X70:Y70)</f>
        <v>0</v>
      </c>
      <c r="AA70" s="30" t="s">
        <v>251</v>
      </c>
      <c r="AD70" s="67"/>
      <c r="AP70" s="24"/>
    </row>
    <row r="71" spans="1:42" ht="32.1" customHeight="1" thickBot="1" x14ac:dyDescent="0.25">
      <c r="A71" s="19"/>
      <c r="B71" s="392"/>
      <c r="C71" s="552"/>
      <c r="D71" s="395"/>
      <c r="E71" s="367"/>
      <c r="F71" s="399"/>
      <c r="G71" s="362"/>
      <c r="H71" s="363"/>
      <c r="I71" s="404" t="s">
        <v>236</v>
      </c>
      <c r="J71" s="405"/>
      <c r="K71" s="405"/>
      <c r="L71" s="405"/>
      <c r="M71" s="405"/>
      <c r="N71" s="405"/>
      <c r="O71" s="405"/>
      <c r="P71" s="405"/>
      <c r="Q71" s="405"/>
      <c r="R71" s="406"/>
      <c r="S71" s="199"/>
      <c r="AD71" s="25" t="s">
        <v>164</v>
      </c>
      <c r="AE71" s="210" t="s">
        <v>147</v>
      </c>
      <c r="AP71" s="26" t="s">
        <v>167</v>
      </c>
    </row>
    <row r="72" spans="1:42" ht="25.2" customHeight="1" thickBot="1" x14ac:dyDescent="0.25">
      <c r="A72" s="19"/>
      <c r="B72" s="392"/>
      <c r="C72" s="409" t="s">
        <v>395</v>
      </c>
      <c r="D72" s="410"/>
      <c r="E72" s="593">
        <f>AD72</f>
        <v>1</v>
      </c>
      <c r="F72" s="402" t="str">
        <f>IF(Y72=0,"-",AP72)</f>
        <v>-</v>
      </c>
      <c r="G72" s="385" t="s">
        <v>235</v>
      </c>
      <c r="H72" s="386"/>
      <c r="I72" s="545"/>
      <c r="J72" s="546"/>
      <c r="K72" s="546"/>
      <c r="L72" s="546"/>
      <c r="M72" s="546"/>
      <c r="N72" s="546"/>
      <c r="O72" s="546"/>
      <c r="P72" s="546"/>
      <c r="Q72" s="547"/>
      <c r="R72" s="352" t="s">
        <v>401</v>
      </c>
      <c r="S72" s="350"/>
      <c r="V72" s="27">
        <f>IF(I72="",0,1)</f>
        <v>0</v>
      </c>
      <c r="W72" s="27">
        <f>IF(S72="",0,1)</f>
        <v>0</v>
      </c>
      <c r="X72" s="28"/>
      <c r="Y72" s="29">
        <f>SUM(V72:W75)</f>
        <v>0</v>
      </c>
      <c r="Z72" s="30" t="s">
        <v>271</v>
      </c>
      <c r="AB72" s="68"/>
      <c r="AC72" s="68"/>
      <c r="AD72" s="48">
        <v>1</v>
      </c>
      <c r="AE72" s="35">
        <f>IF(Y72=5,AD72*V68,0)</f>
        <v>0</v>
      </c>
      <c r="AG72" s="68"/>
      <c r="AH72" s="68"/>
      <c r="AP72" s="36">
        <f>IF(Y72=5,AE72,0)</f>
        <v>0</v>
      </c>
    </row>
    <row r="73" spans="1:42" ht="25.2" customHeight="1" thickBot="1" x14ac:dyDescent="0.25">
      <c r="A73" s="19"/>
      <c r="B73" s="392"/>
      <c r="C73" s="411"/>
      <c r="D73" s="412"/>
      <c r="E73" s="593"/>
      <c r="F73" s="402"/>
      <c r="G73" s="383" t="s">
        <v>361</v>
      </c>
      <c r="H73" s="384"/>
      <c r="I73" s="548"/>
      <c r="J73" s="549"/>
      <c r="K73" s="549"/>
      <c r="L73" s="549"/>
      <c r="M73" s="162" t="s">
        <v>279</v>
      </c>
      <c r="N73" s="549"/>
      <c r="O73" s="549"/>
      <c r="P73" s="549"/>
      <c r="Q73" s="550"/>
      <c r="R73" s="353"/>
      <c r="S73" s="387"/>
      <c r="V73" s="27">
        <f>IF(AND(I73&lt;&gt;"",N73&lt;&gt;""),1,0)</f>
        <v>0</v>
      </c>
      <c r="W73" s="37"/>
      <c r="X73" s="31"/>
      <c r="Y73" s="31"/>
      <c r="Z73" s="30"/>
      <c r="AB73" s="68"/>
      <c r="AC73" s="68"/>
      <c r="AD73" s="69"/>
      <c r="AE73" s="41"/>
      <c r="AG73" s="68"/>
      <c r="AH73" s="68"/>
      <c r="AP73" s="70"/>
    </row>
    <row r="74" spans="1:42" ht="25.2" customHeight="1" thickBot="1" x14ac:dyDescent="0.25">
      <c r="A74" s="19"/>
      <c r="B74" s="392"/>
      <c r="C74" s="411"/>
      <c r="D74" s="412"/>
      <c r="E74" s="593"/>
      <c r="F74" s="402"/>
      <c r="G74" s="381" t="s">
        <v>359</v>
      </c>
      <c r="H74" s="382"/>
      <c r="I74" s="548"/>
      <c r="J74" s="549"/>
      <c r="K74" s="549"/>
      <c r="L74" s="549"/>
      <c r="M74" s="162" t="s">
        <v>279</v>
      </c>
      <c r="N74" s="549"/>
      <c r="O74" s="549"/>
      <c r="P74" s="549"/>
      <c r="Q74" s="550"/>
      <c r="R74" s="353"/>
      <c r="S74" s="387"/>
      <c r="V74" s="27">
        <f>IF(AND(I74&lt;&gt;"",N74&lt;&gt;""),1,0)</f>
        <v>0</v>
      </c>
      <c r="W74" s="42"/>
      <c r="X74" s="31"/>
      <c r="Y74" s="31"/>
      <c r="Z74" s="30"/>
      <c r="AB74" s="68"/>
      <c r="AC74" s="68"/>
      <c r="AD74" s="69"/>
      <c r="AE74" s="41"/>
      <c r="AG74" s="68"/>
      <c r="AH74" s="68"/>
      <c r="AP74" s="70"/>
    </row>
    <row r="75" spans="1:42" ht="32.1" customHeight="1" thickBot="1" x14ac:dyDescent="0.25">
      <c r="A75" s="19"/>
      <c r="B75" s="392"/>
      <c r="C75" s="411"/>
      <c r="D75" s="412"/>
      <c r="E75" s="593"/>
      <c r="F75" s="402"/>
      <c r="G75" s="379" t="s">
        <v>284</v>
      </c>
      <c r="H75" s="380"/>
      <c r="I75" s="518"/>
      <c r="J75" s="589"/>
      <c r="K75" s="520" t="s">
        <v>281</v>
      </c>
      <c r="L75" s="521"/>
      <c r="M75" s="522" t="s">
        <v>316</v>
      </c>
      <c r="N75" s="523"/>
      <c r="O75" s="523"/>
      <c r="P75" s="242" t="s">
        <v>29</v>
      </c>
      <c r="Q75" s="175" t="s">
        <v>318</v>
      </c>
      <c r="R75" s="354"/>
      <c r="S75" s="351"/>
      <c r="V75" s="27">
        <f>IF(I75="",0,1)</f>
        <v>0</v>
      </c>
      <c r="W75" s="42"/>
      <c r="X75" s="31"/>
      <c r="Y75" s="31"/>
      <c r="AB75" s="68"/>
      <c r="AC75" s="68"/>
      <c r="AD75" s="25" t="s">
        <v>164</v>
      </c>
      <c r="AE75" s="210" t="s">
        <v>147</v>
      </c>
      <c r="AG75" s="68"/>
      <c r="AH75" s="68"/>
      <c r="AP75" s="26" t="s">
        <v>167</v>
      </c>
    </row>
    <row r="76" spans="1:42" ht="25.2" customHeight="1" thickBot="1" x14ac:dyDescent="0.25">
      <c r="A76" s="19"/>
      <c r="B76" s="392"/>
      <c r="C76" s="407" t="s">
        <v>394</v>
      </c>
      <c r="D76" s="408"/>
      <c r="E76" s="593">
        <f>AD76</f>
        <v>1</v>
      </c>
      <c r="F76" s="402" t="str">
        <f>IF(Y76=0,"-",AP76)</f>
        <v>-</v>
      </c>
      <c r="G76" s="381" t="s">
        <v>286</v>
      </c>
      <c r="H76" s="382"/>
      <c r="I76" s="163" t="s">
        <v>276</v>
      </c>
      <c r="J76" s="277"/>
      <c r="K76" s="177" t="s">
        <v>277</v>
      </c>
      <c r="L76" s="590"/>
      <c r="M76" s="591"/>
      <c r="N76" s="177" t="s">
        <v>277</v>
      </c>
      <c r="O76" s="592"/>
      <c r="P76" s="591"/>
      <c r="Q76" s="184" t="s">
        <v>278</v>
      </c>
      <c r="R76" s="352" t="s">
        <v>396</v>
      </c>
      <c r="S76" s="350"/>
      <c r="V76" s="27">
        <f>IF(AND(J76&lt;&gt;"",L76&lt;&gt;"",O76&lt;&gt;""),1,0)</f>
        <v>0</v>
      </c>
      <c r="W76" s="27">
        <f>IF(S76="",0,1)</f>
        <v>0</v>
      </c>
      <c r="X76" s="28"/>
      <c r="Y76" s="29">
        <f>SUM(V76:W78)</f>
        <v>0</v>
      </c>
      <c r="Z76" s="30" t="s">
        <v>399</v>
      </c>
      <c r="AB76" s="68"/>
      <c r="AC76" s="68"/>
      <c r="AD76" s="48">
        <v>1</v>
      </c>
      <c r="AE76" s="35">
        <f>IF(Y76=4,AD76*V68,0)</f>
        <v>0</v>
      </c>
      <c r="AG76" s="68"/>
      <c r="AH76" s="68"/>
      <c r="AP76" s="36">
        <f>IF(Y76=4,AE76,0)</f>
        <v>0</v>
      </c>
    </row>
    <row r="77" spans="1:42" ht="25.2" customHeight="1" thickBot="1" x14ac:dyDescent="0.25">
      <c r="A77" s="19"/>
      <c r="B77" s="392"/>
      <c r="C77" s="360"/>
      <c r="D77" s="361"/>
      <c r="E77" s="593"/>
      <c r="F77" s="402"/>
      <c r="G77" s="383" t="s">
        <v>321</v>
      </c>
      <c r="H77" s="384"/>
      <c r="I77" s="428"/>
      <c r="J77" s="429"/>
      <c r="K77" s="429"/>
      <c r="L77" s="429"/>
      <c r="M77" s="177" t="s">
        <v>279</v>
      </c>
      <c r="N77" s="429"/>
      <c r="O77" s="429"/>
      <c r="P77" s="429"/>
      <c r="Q77" s="430"/>
      <c r="R77" s="353"/>
      <c r="S77" s="387"/>
      <c r="V77" s="27">
        <f>IF(AND(I77&lt;&gt;"",N77&lt;&gt;""),1,0)</f>
        <v>0</v>
      </c>
      <c r="W77" s="37"/>
      <c r="X77" s="31"/>
      <c r="Y77" s="31"/>
      <c r="Z77" s="30"/>
      <c r="AB77" s="68"/>
      <c r="AC77" s="68"/>
      <c r="AD77" s="69"/>
      <c r="AE77" s="68"/>
      <c r="AG77" s="68"/>
      <c r="AH77" s="68"/>
    </row>
    <row r="78" spans="1:42" ht="25.2" customHeight="1" thickBot="1" x14ac:dyDescent="0.25">
      <c r="A78" s="19"/>
      <c r="B78" s="392"/>
      <c r="C78" s="362"/>
      <c r="D78" s="363"/>
      <c r="E78" s="593"/>
      <c r="F78" s="402"/>
      <c r="G78" s="383" t="s">
        <v>322</v>
      </c>
      <c r="H78" s="384"/>
      <c r="I78" s="428"/>
      <c r="J78" s="429"/>
      <c r="K78" s="429"/>
      <c r="L78" s="429"/>
      <c r="M78" s="177" t="s">
        <v>279</v>
      </c>
      <c r="N78" s="429"/>
      <c r="O78" s="429"/>
      <c r="P78" s="429"/>
      <c r="Q78" s="430"/>
      <c r="R78" s="354"/>
      <c r="S78" s="387"/>
      <c r="V78" s="27">
        <f>IF(AND(I78&lt;&gt;"",N78&lt;&gt;""),1,0)</f>
        <v>0</v>
      </c>
      <c r="W78" s="42"/>
      <c r="X78" s="31"/>
      <c r="Y78" s="31"/>
      <c r="Z78" s="30"/>
      <c r="AB78" s="68"/>
      <c r="AC78" s="68"/>
      <c r="AD78" s="25" t="s">
        <v>164</v>
      </c>
      <c r="AE78" s="210" t="s">
        <v>147</v>
      </c>
      <c r="AG78" s="68"/>
      <c r="AH78" s="68"/>
      <c r="AP78" s="26" t="s">
        <v>167</v>
      </c>
    </row>
    <row r="79" spans="1:42" ht="25.2" customHeight="1" thickBot="1" x14ac:dyDescent="0.25">
      <c r="A79" s="19"/>
      <c r="B79" s="392"/>
      <c r="C79" s="360" t="s">
        <v>434</v>
      </c>
      <c r="D79" s="361"/>
      <c r="E79" s="366">
        <f>AD79</f>
        <v>1</v>
      </c>
      <c r="F79" s="364" t="str">
        <f>IF(Y79=0,"-",AP79)</f>
        <v>-</v>
      </c>
      <c r="G79" s="379" t="s">
        <v>193</v>
      </c>
      <c r="H79" s="380"/>
      <c r="I79" s="425"/>
      <c r="J79" s="426"/>
      <c r="K79" s="426"/>
      <c r="L79" s="426"/>
      <c r="M79" s="426"/>
      <c r="N79" s="426"/>
      <c r="O79" s="426"/>
      <c r="P79" s="426"/>
      <c r="Q79" s="427"/>
      <c r="R79" s="400" t="s">
        <v>397</v>
      </c>
      <c r="S79" s="350"/>
      <c r="V79" s="27">
        <f>IF(I79="",0,1)</f>
        <v>0</v>
      </c>
      <c r="W79" s="27">
        <f>IF(S79="",0,1)</f>
        <v>0</v>
      </c>
      <c r="X79" s="28"/>
      <c r="Y79" s="29">
        <f>SUM(V79:W80)</f>
        <v>0</v>
      </c>
      <c r="Z79" s="30" t="s">
        <v>400</v>
      </c>
      <c r="AA79" s="46"/>
      <c r="AB79" s="43"/>
      <c r="AC79" s="38"/>
      <c r="AD79" s="34">
        <v>1</v>
      </c>
      <c r="AE79" s="35">
        <f>IF(Y79=3,AD79*V68,0)</f>
        <v>0</v>
      </c>
      <c r="AG79" s="32"/>
      <c r="AH79" s="32"/>
      <c r="AP79" s="36">
        <f>IF(Y79=3,AE79,0)</f>
        <v>0</v>
      </c>
    </row>
    <row r="80" spans="1:42" ht="25.2" customHeight="1" thickBot="1" x14ac:dyDescent="0.25">
      <c r="A80" s="19"/>
      <c r="B80" s="393"/>
      <c r="C80" s="362"/>
      <c r="D80" s="363"/>
      <c r="E80" s="367"/>
      <c r="F80" s="365"/>
      <c r="G80" s="379" t="s">
        <v>194</v>
      </c>
      <c r="H80" s="380"/>
      <c r="I80" s="425"/>
      <c r="J80" s="426"/>
      <c r="K80" s="426"/>
      <c r="L80" s="426"/>
      <c r="M80" s="426"/>
      <c r="N80" s="426"/>
      <c r="O80" s="426"/>
      <c r="P80" s="426"/>
      <c r="Q80" s="427"/>
      <c r="R80" s="401"/>
      <c r="S80" s="351"/>
      <c r="V80" s="27">
        <f>IF(I80="",0,1)</f>
        <v>0</v>
      </c>
      <c r="W80" s="42"/>
      <c r="X80" s="31"/>
      <c r="Y80" s="31"/>
      <c r="AA80" s="46"/>
      <c r="AB80" s="43"/>
      <c r="AC80" s="38"/>
      <c r="AD80" s="71"/>
      <c r="AE80" s="24"/>
      <c r="AF80" s="31"/>
      <c r="AG80" s="32"/>
      <c r="AH80" s="32"/>
      <c r="AI80" s="31"/>
      <c r="AJ80" s="31"/>
      <c r="AK80" s="31"/>
      <c r="AL80" s="31"/>
      <c r="AM80" s="31"/>
      <c r="AN80" s="31"/>
      <c r="AO80" s="31"/>
      <c r="AP80" s="24"/>
    </row>
    <row r="81" spans="1:42" s="241" customFormat="1" ht="20.100000000000001" customHeight="1" x14ac:dyDescent="0.2">
      <c r="A81" s="251"/>
      <c r="B81" s="389" t="s">
        <v>369</v>
      </c>
      <c r="C81" s="389"/>
      <c r="D81" s="389"/>
      <c r="E81" s="389"/>
      <c r="F81" s="389"/>
      <c r="G81" s="389"/>
      <c r="H81" s="389"/>
      <c r="I81" s="389"/>
      <c r="J81" s="389"/>
      <c r="K81" s="389"/>
      <c r="L81" s="389"/>
      <c r="M81" s="389"/>
      <c r="N81" s="389"/>
      <c r="O81" s="389"/>
      <c r="P81" s="389"/>
      <c r="Q81" s="389"/>
      <c r="R81" s="389"/>
      <c r="S81" s="389"/>
      <c r="V81" s="252"/>
      <c r="W81" s="253"/>
      <c r="X81" s="253"/>
      <c r="Y81" s="253"/>
      <c r="Z81" s="253"/>
      <c r="AA81" s="253"/>
      <c r="AB81" s="253"/>
      <c r="AC81" s="254"/>
      <c r="AD81" s="255"/>
      <c r="AE81" s="256"/>
      <c r="AF81" s="253"/>
    </row>
    <row r="82" spans="1:42" s="95" customFormat="1" ht="17.100000000000001" customHeight="1" x14ac:dyDescent="0.2">
      <c r="A82" s="279"/>
      <c r="B82" s="390" t="s">
        <v>370</v>
      </c>
      <c r="C82" s="390"/>
      <c r="D82" s="390"/>
      <c r="E82" s="390"/>
      <c r="F82" s="390"/>
      <c r="G82" s="390"/>
      <c r="H82" s="390"/>
      <c r="I82" s="390"/>
      <c r="J82" s="390"/>
      <c r="K82" s="390"/>
      <c r="L82" s="390"/>
      <c r="M82" s="390"/>
      <c r="N82" s="390"/>
      <c r="O82" s="390"/>
      <c r="P82" s="390"/>
      <c r="Q82" s="390"/>
      <c r="R82" s="390"/>
      <c r="S82" s="390"/>
      <c r="V82" s="280"/>
      <c r="W82" s="280"/>
      <c r="X82" s="280"/>
      <c r="Y82" s="280"/>
      <c r="Z82" s="280"/>
      <c r="AA82" s="280"/>
      <c r="AB82" s="280"/>
      <c r="AC82" s="281"/>
      <c r="AD82" s="282"/>
      <c r="AE82" s="283"/>
      <c r="AF82" s="284"/>
      <c r="AG82" s="72"/>
    </row>
    <row r="83" spans="1:42" s="95" customFormat="1" ht="17.100000000000001" customHeight="1" x14ac:dyDescent="0.2">
      <c r="A83" s="279"/>
      <c r="B83" s="390" t="s">
        <v>368</v>
      </c>
      <c r="C83" s="390"/>
      <c r="D83" s="390"/>
      <c r="E83" s="390"/>
      <c r="F83" s="390"/>
      <c r="G83" s="390"/>
      <c r="H83" s="390"/>
      <c r="I83" s="390"/>
      <c r="J83" s="390"/>
      <c r="K83" s="390"/>
      <c r="L83" s="390"/>
      <c r="M83" s="390"/>
      <c r="N83" s="390"/>
      <c r="O83" s="390"/>
      <c r="P83" s="390"/>
      <c r="Q83" s="390"/>
      <c r="R83" s="390"/>
      <c r="S83" s="390"/>
      <c r="V83" s="280"/>
      <c r="W83" s="280"/>
      <c r="X83" s="280"/>
      <c r="Y83" s="280"/>
      <c r="Z83" s="280"/>
      <c r="AA83" s="280"/>
      <c r="AB83" s="280"/>
      <c r="AC83" s="281"/>
      <c r="AD83" s="282"/>
      <c r="AE83" s="283"/>
      <c r="AF83" s="284"/>
      <c r="AG83" s="73"/>
    </row>
    <row r="84" spans="1:42" s="95" customFormat="1" ht="17.100000000000001" customHeight="1" x14ac:dyDescent="0.2">
      <c r="A84" s="279"/>
      <c r="B84" s="390" t="s">
        <v>413</v>
      </c>
      <c r="C84" s="390"/>
      <c r="D84" s="390"/>
      <c r="E84" s="390"/>
      <c r="F84" s="390"/>
      <c r="G84" s="390"/>
      <c r="H84" s="390"/>
      <c r="I84" s="390"/>
      <c r="J84" s="390"/>
      <c r="K84" s="390"/>
      <c r="L84" s="390"/>
      <c r="M84" s="390"/>
      <c r="N84" s="390"/>
      <c r="O84" s="390"/>
      <c r="P84" s="390"/>
      <c r="Q84" s="390"/>
      <c r="R84" s="390"/>
      <c r="S84" s="390"/>
      <c r="V84" s="280"/>
      <c r="W84" s="280"/>
      <c r="X84" s="280"/>
      <c r="Y84" s="280"/>
      <c r="Z84" s="280"/>
      <c r="AA84" s="280"/>
      <c r="AB84" s="280"/>
      <c r="AC84" s="281"/>
      <c r="AD84" s="282"/>
      <c r="AE84" s="283"/>
      <c r="AF84" s="284"/>
      <c r="AG84" s="73"/>
    </row>
    <row r="85" spans="1:42" s="241" customFormat="1" ht="24" customHeight="1" x14ac:dyDescent="0.2">
      <c r="B85" s="368" t="s">
        <v>411</v>
      </c>
      <c r="C85" s="368"/>
      <c r="D85" s="368"/>
      <c r="E85" s="368"/>
      <c r="F85" s="368"/>
      <c r="G85" s="368"/>
      <c r="H85" s="368"/>
      <c r="I85" s="368"/>
      <c r="J85" s="368"/>
      <c r="K85" s="368"/>
      <c r="L85" s="368"/>
      <c r="M85" s="368"/>
      <c r="N85" s="368"/>
      <c r="O85" s="368"/>
      <c r="P85" s="368"/>
      <c r="Q85" s="368"/>
      <c r="R85" s="368"/>
      <c r="S85" s="368"/>
    </row>
    <row r="86" spans="1:42" ht="14.25" customHeight="1" x14ac:dyDescent="0.2">
      <c r="A86" s="19"/>
      <c r="B86" s="419" t="s">
        <v>238</v>
      </c>
      <c r="C86" s="419"/>
      <c r="D86" s="419"/>
      <c r="E86" s="419"/>
      <c r="F86" s="419"/>
      <c r="G86" s="419"/>
      <c r="H86" s="419"/>
      <c r="I86" s="212"/>
      <c r="J86" s="212"/>
      <c r="K86" s="212"/>
      <c r="L86" s="212"/>
      <c r="M86" s="212"/>
      <c r="N86" s="212"/>
      <c r="O86" s="212"/>
      <c r="P86" s="212"/>
      <c r="Q86" s="20"/>
      <c r="S86" s="21" t="str">
        <f>S49</f>
        <v>（標準型）</v>
      </c>
    </row>
    <row r="87" spans="1:42" ht="16.5" customHeight="1" x14ac:dyDescent="0.2">
      <c r="A87" s="19"/>
      <c r="B87" s="420" t="s">
        <v>138</v>
      </c>
      <c r="C87" s="420"/>
      <c r="D87" s="420"/>
      <c r="E87" s="388" t="str">
        <f>'1.基本データ(このシートは削除しないこと！)'!H14&amp;'1.基本データ(このシートは削除しないこと！)'!H15</f>
        <v>第○○-○○○○○-○○○○号 ○○○○○○○○○○○○工事</v>
      </c>
      <c r="F87" s="388"/>
      <c r="G87" s="388"/>
      <c r="H87" s="388"/>
      <c r="I87" s="388"/>
      <c r="J87" s="388"/>
      <c r="K87" s="388"/>
      <c r="L87" s="388"/>
      <c r="M87" s="388"/>
      <c r="N87" s="388"/>
      <c r="O87" s="388"/>
      <c r="P87" s="388"/>
      <c r="Q87" s="388"/>
      <c r="R87" s="388"/>
    </row>
    <row r="88" spans="1:42" ht="18.75" customHeight="1" thickBot="1" x14ac:dyDescent="0.25">
      <c r="A88" s="19"/>
      <c r="B88" s="431" t="s">
        <v>139</v>
      </c>
      <c r="C88" s="431"/>
      <c r="D88" s="431"/>
      <c r="E88" s="257" t="str">
        <f>E51</f>
        <v>○○・△△特定建設工事共同企業体</v>
      </c>
      <c r="F88" s="258"/>
      <c r="G88" s="258"/>
      <c r="H88" s="258"/>
      <c r="I88" s="258"/>
      <c r="J88" s="258"/>
      <c r="K88" s="258"/>
      <c r="L88" s="258"/>
      <c r="M88" s="258"/>
      <c r="N88" s="258"/>
      <c r="O88" s="258"/>
      <c r="P88" s="258"/>
      <c r="Q88" s="258"/>
      <c r="R88" s="258"/>
      <c r="S88" s="19"/>
    </row>
    <row r="89" spans="1:42" ht="22.5" customHeight="1" thickBot="1" x14ac:dyDescent="0.25">
      <c r="A89" s="19"/>
      <c r="B89" s="495" t="s">
        <v>0</v>
      </c>
      <c r="C89" s="495"/>
      <c r="D89" s="495"/>
      <c r="E89" s="22" t="s">
        <v>168</v>
      </c>
      <c r="F89" s="173" t="s">
        <v>2</v>
      </c>
      <c r="G89" s="376" t="s">
        <v>378</v>
      </c>
      <c r="H89" s="377"/>
      <c r="I89" s="377"/>
      <c r="J89" s="377"/>
      <c r="K89" s="377"/>
      <c r="L89" s="377"/>
      <c r="M89" s="377"/>
      <c r="N89" s="377"/>
      <c r="O89" s="377"/>
      <c r="P89" s="377"/>
      <c r="Q89" s="377"/>
      <c r="R89" s="377"/>
      <c r="S89" s="378"/>
      <c r="V89" s="23" t="s">
        <v>135</v>
      </c>
      <c r="AA89" s="31"/>
      <c r="AD89" s="25" t="s">
        <v>164</v>
      </c>
      <c r="AH89" s="31"/>
      <c r="AI89" s="31"/>
      <c r="AJ89" s="31"/>
      <c r="AK89" s="39"/>
      <c r="AL89" s="31"/>
      <c r="AN89" s="72"/>
      <c r="AO89" s="72"/>
      <c r="AP89" s="26" t="s">
        <v>167</v>
      </c>
    </row>
    <row r="90" spans="1:42" ht="26.1" customHeight="1" thickBot="1" x14ac:dyDescent="0.25">
      <c r="A90" s="19"/>
      <c r="B90" s="554" t="s">
        <v>274</v>
      </c>
      <c r="C90" s="581" t="s">
        <v>306</v>
      </c>
      <c r="D90" s="582"/>
      <c r="E90" s="217">
        <f>AD90</f>
        <v>0.5</v>
      </c>
      <c r="F90" s="211" t="str">
        <f>AP90</f>
        <v>-</v>
      </c>
      <c r="G90" s="369" t="s">
        <v>287</v>
      </c>
      <c r="H90" s="370"/>
      <c r="I90" s="423" t="s">
        <v>380</v>
      </c>
      <c r="J90" s="423"/>
      <c r="K90" s="578" t="s">
        <v>275</v>
      </c>
      <c r="L90" s="579"/>
      <c r="M90" s="579"/>
      <c r="N90" s="579"/>
      <c r="O90" s="579"/>
      <c r="P90" s="579"/>
      <c r="Q90" s="579"/>
      <c r="R90" s="579"/>
      <c r="S90" s="580"/>
      <c r="V90" s="27">
        <f>IF(OR(K90=リスト!H9),1,0)</f>
        <v>0</v>
      </c>
      <c r="W90" s="42"/>
      <c r="X90" s="31"/>
      <c r="Y90" s="31"/>
      <c r="AD90" s="48">
        <v>0.5</v>
      </c>
      <c r="AE90" s="54"/>
      <c r="AG90" s="32"/>
      <c r="AH90" s="32"/>
      <c r="AP90" s="75" t="str">
        <f>IF(V90=1,AD90,"-")</f>
        <v>-</v>
      </c>
    </row>
    <row r="91" spans="1:42" ht="26.1" customHeight="1" thickBot="1" x14ac:dyDescent="0.25">
      <c r="A91" s="19"/>
      <c r="B91" s="554"/>
      <c r="C91" s="581" t="s">
        <v>307</v>
      </c>
      <c r="D91" s="582"/>
      <c r="E91" s="217">
        <f t="shared" ref="E91:E98" si="2">AD91</f>
        <v>0.5</v>
      </c>
      <c r="F91" s="211" t="str">
        <f t="shared" ref="F91:F97" si="3">AP91</f>
        <v>-</v>
      </c>
      <c r="G91" s="369" t="s">
        <v>288</v>
      </c>
      <c r="H91" s="370"/>
      <c r="I91" s="423" t="s">
        <v>384</v>
      </c>
      <c r="J91" s="423"/>
      <c r="K91" s="583" t="s">
        <v>275</v>
      </c>
      <c r="L91" s="584"/>
      <c r="M91" s="584"/>
      <c r="N91" s="584"/>
      <c r="O91" s="584"/>
      <c r="P91" s="584"/>
      <c r="Q91" s="584"/>
      <c r="R91" s="584"/>
      <c r="S91" s="585"/>
      <c r="V91" s="27">
        <f>IF(K91="有",1,0)</f>
        <v>0</v>
      </c>
      <c r="W91" s="31"/>
      <c r="X91" s="74"/>
      <c r="Y91" s="31"/>
      <c r="AD91" s="48">
        <v>0.5</v>
      </c>
      <c r="AE91" s="57"/>
      <c r="AG91" s="32"/>
      <c r="AH91" s="32"/>
      <c r="AP91" s="75" t="str">
        <f t="shared" ref="AP91:AP97" si="4">IF(V91=1,AD91,"-")</f>
        <v>-</v>
      </c>
    </row>
    <row r="92" spans="1:42" ht="26.1" customHeight="1" thickBot="1" x14ac:dyDescent="0.25">
      <c r="A92" s="19"/>
      <c r="B92" s="554"/>
      <c r="C92" s="561" t="s">
        <v>201</v>
      </c>
      <c r="D92" s="562"/>
      <c r="E92" s="217">
        <f t="shared" si="2"/>
        <v>0.5</v>
      </c>
      <c r="F92" s="211" t="str">
        <f t="shared" si="3"/>
        <v>-</v>
      </c>
      <c r="G92" s="369" t="s">
        <v>289</v>
      </c>
      <c r="H92" s="370"/>
      <c r="I92" s="423" t="s">
        <v>384</v>
      </c>
      <c r="J92" s="423"/>
      <c r="K92" s="583" t="s">
        <v>275</v>
      </c>
      <c r="L92" s="584"/>
      <c r="M92" s="584"/>
      <c r="N92" s="584"/>
      <c r="O92" s="584"/>
      <c r="P92" s="584"/>
      <c r="Q92" s="584"/>
      <c r="R92" s="584"/>
      <c r="S92" s="585"/>
      <c r="V92" s="27">
        <f>IF(K92="有",1,0)</f>
        <v>0</v>
      </c>
      <c r="W92" s="31"/>
      <c r="X92" s="74"/>
      <c r="Y92" s="31"/>
      <c r="AD92" s="48">
        <v>0.5</v>
      </c>
      <c r="AE92" s="57"/>
      <c r="AG92" s="32"/>
      <c r="AH92" s="32"/>
      <c r="AP92" s="75" t="str">
        <f t="shared" si="4"/>
        <v>-</v>
      </c>
    </row>
    <row r="93" spans="1:42" ht="26.1" customHeight="1" thickBot="1" x14ac:dyDescent="0.25">
      <c r="A93" s="19"/>
      <c r="B93" s="554"/>
      <c r="C93" s="421" t="s">
        <v>202</v>
      </c>
      <c r="D93" s="422"/>
      <c r="E93" s="213">
        <f>AD93</f>
        <v>1.5</v>
      </c>
      <c r="F93" s="208" t="str">
        <f>AP93</f>
        <v>-</v>
      </c>
      <c r="G93" s="369" t="s">
        <v>435</v>
      </c>
      <c r="H93" s="370"/>
      <c r="I93" s="423" t="s">
        <v>385</v>
      </c>
      <c r="J93" s="423"/>
      <c r="K93" s="578" t="s">
        <v>275</v>
      </c>
      <c r="L93" s="579"/>
      <c r="M93" s="579"/>
      <c r="N93" s="579"/>
      <c r="O93" s="579"/>
      <c r="P93" s="579"/>
      <c r="Q93" s="579"/>
      <c r="R93" s="579"/>
      <c r="S93" s="580"/>
      <c r="V93" s="51">
        <f>IF(OR(K93=リスト!I8),1,0)</f>
        <v>0</v>
      </c>
      <c r="W93" s="31"/>
      <c r="X93" s="74"/>
      <c r="Y93" s="31"/>
      <c r="AD93" s="52">
        <v>1.5</v>
      </c>
      <c r="AE93" s="57"/>
      <c r="AG93" s="32"/>
      <c r="AH93" s="32"/>
      <c r="AM93" s="81"/>
      <c r="AP93" s="75" t="str">
        <f>IF(V93=1,AD93,"-")</f>
        <v>-</v>
      </c>
    </row>
    <row r="94" spans="1:42" ht="26.1" customHeight="1" thickBot="1" x14ac:dyDescent="0.25">
      <c r="A94" s="19"/>
      <c r="B94" s="554"/>
      <c r="C94" s="369" t="s">
        <v>264</v>
      </c>
      <c r="D94" s="424"/>
      <c r="E94" s="217">
        <f t="shared" si="2"/>
        <v>0.5</v>
      </c>
      <c r="F94" s="211" t="str">
        <f t="shared" si="3"/>
        <v>-</v>
      </c>
      <c r="G94" s="369" t="s">
        <v>290</v>
      </c>
      <c r="H94" s="370"/>
      <c r="I94" s="423" t="s">
        <v>384</v>
      </c>
      <c r="J94" s="423"/>
      <c r="K94" s="583" t="s">
        <v>275</v>
      </c>
      <c r="L94" s="584"/>
      <c r="M94" s="584"/>
      <c r="N94" s="584"/>
      <c r="O94" s="584"/>
      <c r="P94" s="584"/>
      <c r="Q94" s="584"/>
      <c r="R94" s="584"/>
      <c r="S94" s="585"/>
      <c r="V94" s="27">
        <f>IF(K94="有",1,0)</f>
        <v>0</v>
      </c>
      <c r="W94" s="31"/>
      <c r="X94" s="74"/>
      <c r="Y94" s="31"/>
      <c r="AD94" s="48">
        <v>0.5</v>
      </c>
      <c r="AE94" s="57"/>
      <c r="AG94" s="32"/>
      <c r="AH94" s="32"/>
      <c r="AM94" s="81" t="s">
        <v>164</v>
      </c>
      <c r="AP94" s="75" t="str">
        <f t="shared" si="4"/>
        <v>-</v>
      </c>
    </row>
    <row r="95" spans="1:42" ht="26.1" customHeight="1" thickBot="1" x14ac:dyDescent="0.25">
      <c r="A95" s="19"/>
      <c r="B95" s="554"/>
      <c r="C95" s="369" t="s">
        <v>291</v>
      </c>
      <c r="D95" s="424"/>
      <c r="E95" s="217">
        <f t="shared" si="2"/>
        <v>0.5</v>
      </c>
      <c r="F95" s="211" t="str">
        <f t="shared" si="3"/>
        <v>-</v>
      </c>
      <c r="G95" s="369" t="s">
        <v>290</v>
      </c>
      <c r="H95" s="370"/>
      <c r="I95" s="423" t="s">
        <v>386</v>
      </c>
      <c r="J95" s="423"/>
      <c r="K95" s="583" t="s">
        <v>275</v>
      </c>
      <c r="L95" s="584"/>
      <c r="M95" s="584"/>
      <c r="N95" s="584"/>
      <c r="O95" s="584"/>
      <c r="P95" s="584"/>
      <c r="Q95" s="584"/>
      <c r="R95" s="584"/>
      <c r="S95" s="585"/>
      <c r="V95" s="27">
        <f>IF(K95="有",1,0)</f>
        <v>0</v>
      </c>
      <c r="W95" s="31"/>
      <c r="X95" s="74"/>
      <c r="Y95" s="31"/>
      <c r="AD95" s="48">
        <v>0.5</v>
      </c>
      <c r="AE95" s="57"/>
      <c r="AG95" s="32"/>
      <c r="AH95" s="32"/>
      <c r="AJ95" s="27">
        <v>0</v>
      </c>
      <c r="AK95" s="108"/>
      <c r="AL95" s="108"/>
      <c r="AM95" s="34">
        <v>0</v>
      </c>
      <c r="AP95" s="75" t="str">
        <f t="shared" si="4"/>
        <v>-</v>
      </c>
    </row>
    <row r="96" spans="1:42" ht="26.1" customHeight="1" thickBot="1" x14ac:dyDescent="0.25">
      <c r="A96" s="19"/>
      <c r="B96" s="554"/>
      <c r="C96" s="561" t="s">
        <v>203</v>
      </c>
      <c r="D96" s="562"/>
      <c r="E96" s="217">
        <f t="shared" si="2"/>
        <v>0.5</v>
      </c>
      <c r="F96" s="211" t="str">
        <f t="shared" si="3"/>
        <v>-</v>
      </c>
      <c r="G96" s="369" t="s">
        <v>436</v>
      </c>
      <c r="H96" s="370"/>
      <c r="I96" s="423" t="s">
        <v>384</v>
      </c>
      <c r="J96" s="423"/>
      <c r="K96" s="583" t="s">
        <v>275</v>
      </c>
      <c r="L96" s="584"/>
      <c r="M96" s="584"/>
      <c r="N96" s="584"/>
      <c r="O96" s="584"/>
      <c r="P96" s="584"/>
      <c r="Q96" s="584"/>
      <c r="R96" s="584"/>
      <c r="S96" s="585"/>
      <c r="V96" s="27">
        <f>IF(K96="有",1,0)</f>
        <v>0</v>
      </c>
      <c r="W96" s="29">
        <f>IF(K98="",0,1)</f>
        <v>0</v>
      </c>
      <c r="X96" s="18" t="s">
        <v>407</v>
      </c>
      <c r="Y96" s="31"/>
      <c r="AA96" s="18" t="s">
        <v>409</v>
      </c>
      <c r="AC96" s="18" t="s">
        <v>410</v>
      </c>
      <c r="AD96" s="48">
        <v>0.5</v>
      </c>
      <c r="AE96" s="57"/>
      <c r="AG96" s="32"/>
      <c r="AH96" s="32"/>
      <c r="AJ96" s="27">
        <v>42</v>
      </c>
      <c r="AK96" s="27" t="s">
        <v>144</v>
      </c>
      <c r="AL96" s="27" t="s">
        <v>169</v>
      </c>
      <c r="AM96" s="34">
        <v>5</v>
      </c>
      <c r="AP96" s="75" t="str">
        <f t="shared" si="4"/>
        <v>-</v>
      </c>
    </row>
    <row r="97" spans="1:54" ht="26.1" customHeight="1" thickBot="1" x14ac:dyDescent="0.25">
      <c r="A97" s="19"/>
      <c r="B97" s="554"/>
      <c r="C97" s="485" t="s">
        <v>308</v>
      </c>
      <c r="D97" s="577"/>
      <c r="E97" s="172">
        <f t="shared" si="2"/>
        <v>0.5</v>
      </c>
      <c r="F97" s="186" t="str">
        <f t="shared" si="3"/>
        <v>-</v>
      </c>
      <c r="G97" s="416" t="s">
        <v>436</v>
      </c>
      <c r="H97" s="348"/>
      <c r="I97" s="423" t="s">
        <v>384</v>
      </c>
      <c r="J97" s="423"/>
      <c r="K97" s="583" t="s">
        <v>275</v>
      </c>
      <c r="L97" s="584"/>
      <c r="M97" s="584"/>
      <c r="N97" s="584"/>
      <c r="O97" s="584"/>
      <c r="P97" s="584"/>
      <c r="Q97" s="584"/>
      <c r="R97" s="584"/>
      <c r="S97" s="585"/>
      <c r="V97" s="27">
        <f>IF(K97="有",1,0)</f>
        <v>0</v>
      </c>
      <c r="W97" s="27">
        <f>IF(OR(R98=リスト!O4),1,0)</f>
        <v>0</v>
      </c>
      <c r="X97" s="27">
        <f>W96</f>
        <v>0</v>
      </c>
      <c r="Y97" s="29">
        <f>SUM(W97:X97)</f>
        <v>0</v>
      </c>
      <c r="Z97" s="30" t="s">
        <v>408</v>
      </c>
      <c r="AA97" s="27">
        <v>0.5</v>
      </c>
      <c r="AB97" s="248">
        <f>W97*AA97</f>
        <v>0</v>
      </c>
      <c r="AC97" s="244" t="str">
        <f>IF(W96=1,MAX(AB97:AB98),"-")</f>
        <v>-</v>
      </c>
      <c r="AD97" s="249">
        <v>0.5</v>
      </c>
      <c r="AE97" s="210" t="s">
        <v>147</v>
      </c>
      <c r="AF97" s="31"/>
      <c r="AG97" s="32"/>
      <c r="AH97" s="32"/>
      <c r="AJ97" s="27">
        <v>41</v>
      </c>
      <c r="AK97" s="27" t="s">
        <v>144</v>
      </c>
      <c r="AL97" s="27" t="s">
        <v>25</v>
      </c>
      <c r="AM97" s="34">
        <v>4</v>
      </c>
      <c r="AP97" s="75" t="str">
        <f t="shared" si="4"/>
        <v>-</v>
      </c>
      <c r="AS97" s="72" t="s">
        <v>226</v>
      </c>
    </row>
    <row r="98" spans="1:54" ht="26.1" customHeight="1" thickBot="1" x14ac:dyDescent="0.25">
      <c r="A98" s="19"/>
      <c r="B98" s="554"/>
      <c r="C98" s="485" t="s">
        <v>300</v>
      </c>
      <c r="D98" s="577"/>
      <c r="E98" s="261">
        <f t="shared" si="2"/>
        <v>0.5</v>
      </c>
      <c r="F98" s="310" t="str">
        <f>AP98</f>
        <v>-</v>
      </c>
      <c r="G98" s="416" t="s">
        <v>444</v>
      </c>
      <c r="H98" s="348"/>
      <c r="I98" s="417" t="s">
        <v>398</v>
      </c>
      <c r="J98" s="418"/>
      <c r="K98" s="357"/>
      <c r="L98" s="358"/>
      <c r="M98" s="358"/>
      <c r="N98" s="358"/>
      <c r="O98" s="358"/>
      <c r="P98" s="358"/>
      <c r="Q98" s="359"/>
      <c r="R98" s="355" t="s">
        <v>275</v>
      </c>
      <c r="S98" s="356"/>
      <c r="W98" s="27">
        <f>IF(OR(R98=リスト!O5),1,0)</f>
        <v>0</v>
      </c>
      <c r="X98" s="27">
        <f>W96</f>
        <v>0</v>
      </c>
      <c r="Y98" s="29">
        <f>SUM(W98:X98)</f>
        <v>0</v>
      </c>
      <c r="Z98" s="30" t="s">
        <v>315</v>
      </c>
      <c r="AA98" s="48">
        <v>0.25</v>
      </c>
      <c r="AB98" s="248">
        <f>W98*AA98</f>
        <v>0</v>
      </c>
      <c r="AC98" s="244" t="str">
        <f>IF(W96=1,MAX(AB97:AB98),"-")</f>
        <v>-</v>
      </c>
      <c r="AD98" s="18">
        <v>0.5</v>
      </c>
      <c r="AF98" s="31"/>
      <c r="AG98" s="32"/>
      <c r="AH98" s="32"/>
      <c r="AJ98" s="27">
        <v>40</v>
      </c>
      <c r="AK98" s="27" t="s">
        <v>144</v>
      </c>
      <c r="AL98" s="27" t="s">
        <v>4</v>
      </c>
      <c r="AM98" s="34">
        <v>3</v>
      </c>
      <c r="AP98" s="75" t="str">
        <f>IF(W96=1,MAX(AB97:AC98),"-")</f>
        <v>-</v>
      </c>
      <c r="AS98" s="72" t="s">
        <v>226</v>
      </c>
    </row>
    <row r="99" spans="1:54" ht="26.1" customHeight="1" thickBot="1" x14ac:dyDescent="0.25">
      <c r="A99" s="19"/>
      <c r="B99" s="552"/>
      <c r="C99" s="494" t="s">
        <v>309</v>
      </c>
      <c r="D99" s="494"/>
      <c r="E99" s="216">
        <f t="shared" ref="E99" si="5">AD99</f>
        <v>2.5</v>
      </c>
      <c r="F99" s="209" t="str">
        <f>AP99</f>
        <v>-</v>
      </c>
      <c r="G99" s="506" t="s">
        <v>437</v>
      </c>
      <c r="H99" s="507"/>
      <c r="I99" s="423" t="s">
        <v>382</v>
      </c>
      <c r="J99" s="423"/>
      <c r="K99" s="503" t="s">
        <v>275</v>
      </c>
      <c r="L99" s="504"/>
      <c r="M99" s="504"/>
      <c r="N99" s="504"/>
      <c r="O99" s="504"/>
      <c r="P99" s="504"/>
      <c r="Q99" s="504"/>
      <c r="R99" s="504"/>
      <c r="S99" s="505"/>
      <c r="V99" s="27">
        <f>IF(AND('1.基本データ(このシートは削除しないこと！)'!H16=1,K99=リスト!K9),1,0)</f>
        <v>0</v>
      </c>
      <c r="W99" s="27">
        <f>IF(AND('1.基本データ(このシートは削除しないこと！)'!H16=1,K99=リスト!K10),1,0)</f>
        <v>0</v>
      </c>
      <c r="X99" s="27">
        <f>IF(AND('1.基本データ(このシートは削除しないこと！)'!H16&gt;1,K99=リスト!K11),1,0)</f>
        <v>0</v>
      </c>
      <c r="Y99" s="18">
        <f>SUM(V99:X99)</f>
        <v>0</v>
      </c>
      <c r="Z99" s="30" t="s">
        <v>215</v>
      </c>
      <c r="AB99" s="47"/>
      <c r="AC99" s="77" t="s">
        <v>212</v>
      </c>
      <c r="AD99" s="78">
        <v>2.5</v>
      </c>
      <c r="AE99" s="79">
        <f>V99*AD99</f>
        <v>0</v>
      </c>
      <c r="AF99" s="432" t="str">
        <f>IF('1.基本データ(このシートは削除しないこと！)'!H16=1,MAX(AE99:AE100),"-")</f>
        <v>-</v>
      </c>
      <c r="AJ99" s="27">
        <v>32</v>
      </c>
      <c r="AK99" s="27" t="s">
        <v>145</v>
      </c>
      <c r="AL99" s="27" t="s">
        <v>169</v>
      </c>
      <c r="AM99" s="34">
        <v>3</v>
      </c>
      <c r="AP99" s="80" t="str">
        <f>IF(Y99=1,MAX(AF99:AF101),"-")</f>
        <v>-</v>
      </c>
      <c r="AS99" s="81" t="s">
        <v>244</v>
      </c>
      <c r="AT99" s="81" t="s">
        <v>245</v>
      </c>
      <c r="AY99" s="39"/>
      <c r="AZ99" s="31"/>
    </row>
    <row r="100" spans="1:54" ht="26.1" customHeight="1" thickBot="1" x14ac:dyDescent="0.25">
      <c r="A100" s="19"/>
      <c r="B100" s="552"/>
      <c r="C100" s="555" t="s">
        <v>310</v>
      </c>
      <c r="D100" s="555"/>
      <c r="E100" s="556">
        <f>AM96</f>
        <v>5</v>
      </c>
      <c r="F100" s="557" t="str">
        <f>IF(OR(K101="-",K102="-"),"-",AQ107)</f>
        <v>-</v>
      </c>
      <c r="G100" s="499" t="s">
        <v>243</v>
      </c>
      <c r="H100" s="500"/>
      <c r="I100" s="500"/>
      <c r="J100" s="500"/>
      <c r="K100" s="500"/>
      <c r="L100" s="500"/>
      <c r="M100" s="500"/>
      <c r="N100" s="500"/>
      <c r="O100" s="500"/>
      <c r="P100" s="500"/>
      <c r="Q100" s="501"/>
      <c r="R100" s="563" t="s">
        <v>367</v>
      </c>
      <c r="S100" s="564"/>
      <c r="AC100" s="82" t="s">
        <v>213</v>
      </c>
      <c r="AD100" s="83">
        <v>1.5</v>
      </c>
      <c r="AE100" s="84">
        <f>W99*AD100</f>
        <v>0</v>
      </c>
      <c r="AF100" s="433"/>
      <c r="AJ100" s="27">
        <v>31</v>
      </c>
      <c r="AK100" s="27" t="s">
        <v>145</v>
      </c>
      <c r="AL100" s="27" t="s">
        <v>25</v>
      </c>
      <c r="AM100" s="34">
        <v>2</v>
      </c>
      <c r="AO100" s="85" t="s">
        <v>250</v>
      </c>
      <c r="AS100" s="86">
        <f>IF($W103="同一市町村",1,10)</f>
        <v>10</v>
      </c>
      <c r="AT100" s="86">
        <f>IF($W106="同一市町村",1,10)</f>
        <v>10</v>
      </c>
      <c r="AY100" s="39"/>
      <c r="AZ100" s="31"/>
    </row>
    <row r="101" spans="1:54" ht="26.1" customHeight="1" thickBot="1" x14ac:dyDescent="0.25">
      <c r="A101" s="19"/>
      <c r="B101" s="552"/>
      <c r="C101" s="555"/>
      <c r="D101" s="555"/>
      <c r="E101" s="556"/>
      <c r="F101" s="557"/>
      <c r="G101" s="477" t="s">
        <v>293</v>
      </c>
      <c r="H101" s="478"/>
      <c r="I101" s="423" t="s">
        <v>382</v>
      </c>
      <c r="J101" s="423"/>
      <c r="K101" s="449" t="s">
        <v>275</v>
      </c>
      <c r="L101" s="450"/>
      <c r="M101" s="450"/>
      <c r="N101" s="450"/>
      <c r="O101" s="450"/>
      <c r="P101" s="450"/>
      <c r="Q101" s="451"/>
      <c r="R101" s="563"/>
      <c r="S101" s="564"/>
      <c r="V101" s="8" t="s">
        <v>242</v>
      </c>
      <c r="W101" s="87" t="str">
        <f>VLOOKUP(K101,リスト2!$C$3:$E$65,2,FALSE)</f>
        <v>-</v>
      </c>
      <c r="X101" s="88"/>
      <c r="AC101" s="89" t="s">
        <v>214</v>
      </c>
      <c r="AD101" s="90">
        <v>2.5</v>
      </c>
      <c r="AE101" s="91">
        <f>X99*AD101</f>
        <v>0</v>
      </c>
      <c r="AF101" s="92">
        <f>IF('1.基本データ(このシートは削除しないこと！)'!H16&gt;1,AE101,"-")</f>
        <v>0</v>
      </c>
      <c r="AJ101" s="27">
        <v>30</v>
      </c>
      <c r="AK101" s="27" t="s">
        <v>145</v>
      </c>
      <c r="AL101" s="27" t="s">
        <v>4</v>
      </c>
      <c r="AM101" s="34">
        <v>1.5</v>
      </c>
      <c r="AO101" s="93" t="e">
        <f>VLOOKUP(AC103,AJ100:AL107,3,FALSE)</f>
        <v>#N/A</v>
      </c>
      <c r="AS101" s="86">
        <f>IF($W103="同一土木",2,10)</f>
        <v>10</v>
      </c>
      <c r="AT101" s="86">
        <f>IF($W106="同一土木",2,10)</f>
        <v>10</v>
      </c>
      <c r="AY101" s="39"/>
      <c r="AZ101" s="31"/>
    </row>
    <row r="102" spans="1:54" ht="26.1" customHeight="1" thickBot="1" x14ac:dyDescent="0.25">
      <c r="A102" s="19"/>
      <c r="B102" s="552"/>
      <c r="C102" s="555"/>
      <c r="D102" s="555"/>
      <c r="E102" s="556"/>
      <c r="F102" s="557"/>
      <c r="G102" s="379" t="s">
        <v>294</v>
      </c>
      <c r="H102" s="502"/>
      <c r="I102" s="423" t="s">
        <v>382</v>
      </c>
      <c r="J102" s="423"/>
      <c r="K102" s="452" t="s">
        <v>275</v>
      </c>
      <c r="L102" s="453"/>
      <c r="M102" s="453"/>
      <c r="N102" s="453"/>
      <c r="O102" s="453"/>
      <c r="P102" s="453"/>
      <c r="Q102" s="454"/>
      <c r="R102" s="563"/>
      <c r="S102" s="564"/>
      <c r="T102" s="94"/>
      <c r="V102" s="8" t="s">
        <v>234</v>
      </c>
      <c r="W102" s="87" t="str">
        <f>VLOOKUP(K101,リスト2!$C$3:$E$65,3,FALSE)</f>
        <v>-</v>
      </c>
      <c r="X102" s="88"/>
      <c r="Z102" s="201" t="s">
        <v>259</v>
      </c>
      <c r="AA102" s="201"/>
      <c r="AB102" s="201"/>
      <c r="AC102" s="201"/>
      <c r="AE102" s="202" t="s">
        <v>260</v>
      </c>
      <c r="AF102" s="201"/>
      <c r="AG102" s="201"/>
      <c r="AJ102" s="27">
        <v>22</v>
      </c>
      <c r="AK102" s="27" t="s">
        <v>146</v>
      </c>
      <c r="AL102" s="27" t="s">
        <v>169</v>
      </c>
      <c r="AM102" s="34">
        <v>2</v>
      </c>
      <c r="AS102" s="86">
        <f>IF($W103="同一建設",3,10)</f>
        <v>10</v>
      </c>
      <c r="AT102" s="86">
        <f>IF($W106="同一建設",3,10)</f>
        <v>10</v>
      </c>
      <c r="AY102" s="39"/>
      <c r="AZ102" s="31"/>
    </row>
    <row r="103" spans="1:54" ht="26.1" customHeight="1" thickBot="1" x14ac:dyDescent="0.25">
      <c r="A103" s="19"/>
      <c r="B103" s="552"/>
      <c r="C103" s="555"/>
      <c r="D103" s="555"/>
      <c r="E103" s="556"/>
      <c r="F103" s="557"/>
      <c r="G103" s="499" t="s">
        <v>262</v>
      </c>
      <c r="H103" s="500"/>
      <c r="I103" s="500"/>
      <c r="J103" s="500"/>
      <c r="K103" s="500"/>
      <c r="L103" s="500"/>
      <c r="M103" s="500"/>
      <c r="N103" s="500"/>
      <c r="O103" s="500"/>
      <c r="P103" s="500"/>
      <c r="Q103" s="501"/>
      <c r="R103" s="563"/>
      <c r="S103" s="564"/>
      <c r="T103" s="94"/>
      <c r="V103" s="8" t="s">
        <v>237</v>
      </c>
      <c r="W103" s="9" t="str">
        <f>IF(K101="-","-",VLOOKUP($AC$103,AJ96:AM107,2,FALSE))</f>
        <v>-</v>
      </c>
      <c r="X103" s="9" t="str">
        <f>IF(K102="本店","本店",IF(K102="準本店","準本店","支店等"))</f>
        <v>支店等</v>
      </c>
      <c r="Z103" s="96" t="s">
        <v>149</v>
      </c>
      <c r="AA103" s="97" t="s">
        <v>363</v>
      </c>
      <c r="AB103" s="97" t="s">
        <v>364</v>
      </c>
      <c r="AC103" s="98">
        <f>IF(K101="-",0,MAX(AC104:AC107))</f>
        <v>0</v>
      </c>
      <c r="AE103" s="96" t="s">
        <v>149</v>
      </c>
      <c r="AF103" s="97" t="s">
        <v>364</v>
      </c>
      <c r="AG103" s="99">
        <f>IF(K104="-",0,MAX(AG104:AG107))</f>
        <v>0</v>
      </c>
      <c r="AH103" s="29">
        <f>AC103-AG103</f>
        <v>0</v>
      </c>
      <c r="AJ103" s="27">
        <v>21</v>
      </c>
      <c r="AK103" s="27" t="s">
        <v>146</v>
      </c>
      <c r="AL103" s="27" t="s">
        <v>25</v>
      </c>
      <c r="AM103" s="34">
        <v>1</v>
      </c>
      <c r="AO103" s="104" t="s">
        <v>147</v>
      </c>
      <c r="AP103" s="60"/>
      <c r="AS103" s="100">
        <f>IF($W103="県内",4,10)</f>
        <v>10</v>
      </c>
      <c r="AT103" s="100">
        <f>IF($W106="県内",4,10)</f>
        <v>10</v>
      </c>
      <c r="AU103" s="101"/>
      <c r="AY103" s="39"/>
      <c r="AZ103" s="31"/>
    </row>
    <row r="104" spans="1:54" ht="26.1" customHeight="1" thickTop="1" thickBot="1" x14ac:dyDescent="0.25">
      <c r="A104" s="19"/>
      <c r="B104" s="552"/>
      <c r="C104" s="555"/>
      <c r="D104" s="555"/>
      <c r="E104" s="556"/>
      <c r="F104" s="557"/>
      <c r="G104" s="477" t="s">
        <v>295</v>
      </c>
      <c r="H104" s="478"/>
      <c r="I104" s="423" t="s">
        <v>382</v>
      </c>
      <c r="J104" s="423"/>
      <c r="K104" s="449" t="s">
        <v>275</v>
      </c>
      <c r="L104" s="450"/>
      <c r="M104" s="450"/>
      <c r="N104" s="450"/>
      <c r="O104" s="450"/>
      <c r="P104" s="450"/>
      <c r="Q104" s="451"/>
      <c r="R104" s="563"/>
      <c r="S104" s="564"/>
      <c r="T104" s="94"/>
      <c r="U104" s="94"/>
      <c r="V104" s="8" t="s">
        <v>242</v>
      </c>
      <c r="W104" s="87" t="str">
        <f>VLOOKUP(K104,リスト2!$C$3:$E$65,2,FALSE)</f>
        <v>-</v>
      </c>
      <c r="X104" s="87" t="str">
        <f>IF(K105="有","有","-")</f>
        <v>-</v>
      </c>
      <c r="Z104" s="76">
        <f>IF(OR(K101='1.基本データ(このシートは削除しないこと！)'!D19,K101='1.基本データ(このシートは削除しないこと！)'!E19),40,0)</f>
        <v>40</v>
      </c>
      <c r="AA104" s="76">
        <f>IF(OR(K102="本店"),2,0)</f>
        <v>0</v>
      </c>
      <c r="AB104" s="76">
        <f>IF(OR(K102="準本店"),1,0)</f>
        <v>0</v>
      </c>
      <c r="AC104" s="76">
        <f>SUM(Z104:AB104)</f>
        <v>40</v>
      </c>
      <c r="AD104" s="18" t="s">
        <v>152</v>
      </c>
      <c r="AE104" s="76">
        <f>IF(OR(K104='1.基本データ(このシートは削除しないこと！)'!D19,K104='1.基本データ(このシートは削除しないこと！)'!E19),40,0)</f>
        <v>40</v>
      </c>
      <c r="AF104" s="76">
        <f>IF(K105="準本店",1,0)</f>
        <v>0</v>
      </c>
      <c r="AG104" s="76">
        <f>SUM(AE104:AF104)</f>
        <v>40</v>
      </c>
      <c r="AH104" s="18" t="s">
        <v>152</v>
      </c>
      <c r="AJ104" s="27">
        <v>20</v>
      </c>
      <c r="AK104" s="27" t="s">
        <v>146</v>
      </c>
      <c r="AL104" s="27" t="s">
        <v>4</v>
      </c>
      <c r="AM104" s="34">
        <v>0.5</v>
      </c>
      <c r="AO104" s="106" t="s">
        <v>150</v>
      </c>
      <c r="AP104" s="106" t="s">
        <v>148</v>
      </c>
      <c r="AS104" s="102">
        <f>MIN(AS100:AS103)</f>
        <v>10</v>
      </c>
      <c r="AT104" s="102">
        <f>MIN(AT100:AT103)</f>
        <v>10</v>
      </c>
      <c r="AV104" s="103"/>
      <c r="AW104" s="103"/>
      <c r="AY104" s="39"/>
      <c r="AZ104" s="31"/>
    </row>
    <row r="105" spans="1:54" ht="26.1" customHeight="1" thickBot="1" x14ac:dyDescent="0.25">
      <c r="A105" s="19"/>
      <c r="B105" s="552"/>
      <c r="C105" s="555"/>
      <c r="D105" s="555"/>
      <c r="E105" s="556"/>
      <c r="F105" s="557"/>
      <c r="G105" s="463" t="s">
        <v>296</v>
      </c>
      <c r="H105" s="464"/>
      <c r="I105" s="423" t="s">
        <v>382</v>
      </c>
      <c r="J105" s="423"/>
      <c r="K105" s="452" t="s">
        <v>275</v>
      </c>
      <c r="L105" s="453"/>
      <c r="M105" s="453"/>
      <c r="N105" s="453"/>
      <c r="O105" s="453"/>
      <c r="P105" s="453"/>
      <c r="Q105" s="454"/>
      <c r="R105" s="563"/>
      <c r="S105" s="564"/>
      <c r="T105" s="94"/>
      <c r="U105" s="94"/>
      <c r="V105" s="8" t="s">
        <v>234</v>
      </c>
      <c r="W105" s="87" t="str">
        <f>VLOOKUP(K104,リスト2!$C$3:$E$65,3,FALSE)</f>
        <v>-</v>
      </c>
      <c r="X105" s="87" t="str">
        <f>IF(K105="有","有","-")</f>
        <v>-</v>
      </c>
      <c r="Z105" s="27">
        <f>IF(OR(W101='1.基本データ(このシートは削除しないこと！)'!D20,W101='1.基本データ(このシートは削除しないこと！)'!E20),30,0)</f>
        <v>30</v>
      </c>
      <c r="AA105" s="27">
        <f>IF(OR(K102="本店"),2,0)</f>
        <v>0</v>
      </c>
      <c r="AB105" s="76">
        <f>IF(OR(K102="準本店"),1,0)</f>
        <v>0</v>
      </c>
      <c r="AC105" s="76">
        <f>SUM(Z105:AB105)</f>
        <v>30</v>
      </c>
      <c r="AD105" s="18" t="s">
        <v>153</v>
      </c>
      <c r="AE105" s="27">
        <f>IF(OR(W104='1.基本データ(このシートは削除しないこと！)'!D20,W104='1.基本データ(このシートは削除しないこと！)'!E20),30,0)</f>
        <v>30</v>
      </c>
      <c r="AF105" s="27">
        <f>IF(K105="準本店",1,0)</f>
        <v>0</v>
      </c>
      <c r="AG105" s="76">
        <f>SUM(AE105:AF105)</f>
        <v>30</v>
      </c>
      <c r="AH105" s="18" t="s">
        <v>153</v>
      </c>
      <c r="AJ105" s="27">
        <v>12</v>
      </c>
      <c r="AK105" s="27" t="s">
        <v>5</v>
      </c>
      <c r="AL105" s="27" t="s">
        <v>169</v>
      </c>
      <c r="AM105" s="34">
        <v>2</v>
      </c>
      <c r="AN105" s="228" t="s">
        <v>323</v>
      </c>
      <c r="AO105" s="34" t="e">
        <f>IF(AND('1.基本データ(このシートは削除しないこと！)'!$H$17=2,AC103&gt;=30),VLOOKUP(AC103,AJ95:AM101,4,0),0)</f>
        <v>#N/A</v>
      </c>
      <c r="AP105" s="34" t="e">
        <f>IF(AND('1.基本データ(このシートは削除しないこと！)'!$H$17=2,AG103&gt;=30),VLOOKUP(AG103,AJ95:AM101,4,0),0)</f>
        <v>#N/A</v>
      </c>
      <c r="AQ105" s="73"/>
      <c r="AT105" s="86">
        <f>MIN(AS104:AT104)</f>
        <v>10</v>
      </c>
      <c r="AU105" s="72" t="s">
        <v>227</v>
      </c>
      <c r="AY105" s="39"/>
      <c r="AZ105" s="31"/>
    </row>
    <row r="106" spans="1:54" ht="20.100000000000001" customHeight="1" thickBot="1" x14ac:dyDescent="0.25">
      <c r="A106" s="19"/>
      <c r="B106" s="552"/>
      <c r="C106" s="555"/>
      <c r="D106" s="555"/>
      <c r="E106" s="556"/>
      <c r="F106" s="557"/>
      <c r="G106" s="461" t="s">
        <v>297</v>
      </c>
      <c r="H106" s="462"/>
      <c r="I106" s="165"/>
      <c r="J106" s="164"/>
      <c r="K106" s="455" t="str">
        <f>IF(K101="-","-",W107)</f>
        <v>-</v>
      </c>
      <c r="L106" s="456"/>
      <c r="M106" s="456"/>
      <c r="N106" s="456"/>
      <c r="O106" s="456"/>
      <c r="P106" s="456"/>
      <c r="Q106" s="457"/>
      <c r="R106" s="563"/>
      <c r="S106" s="564"/>
      <c r="T106" s="105"/>
      <c r="U106" s="105"/>
      <c r="V106" s="10" t="s">
        <v>237</v>
      </c>
      <c r="W106" s="11" t="str">
        <f>IF(K104="-","-",VLOOKUP(AG103,AJ96:AM107,2,FALSE))</f>
        <v>-</v>
      </c>
      <c r="X106" s="11" t="str">
        <f>IF(K104="-","-",VLOOKUP($AG$103,AJ95:AM107,3,FALSE))</f>
        <v>-</v>
      </c>
      <c r="Z106" s="27">
        <f>IF(OR(W102='1.基本データ(このシートは削除しないこと！)'!D21,W102='1.基本データ(このシートは削除しないこと！)'!E21),20,0)</f>
        <v>20</v>
      </c>
      <c r="AA106" s="27">
        <f>IF(OR(K102="本店"),2,0)</f>
        <v>0</v>
      </c>
      <c r="AB106" s="76">
        <f>IF(OR(K102="準本店"),1,0)</f>
        <v>0</v>
      </c>
      <c r="AC106" s="76">
        <f>SUM(Z106:AB106)</f>
        <v>20</v>
      </c>
      <c r="AD106" s="18" t="s">
        <v>154</v>
      </c>
      <c r="AE106" s="27">
        <f>IF(OR(W105='1.基本データ(このシートは削除しないこと！)'!D21,W105='1.基本データ(このシートは削除しないこと！)'!E21),20,0)</f>
        <v>20</v>
      </c>
      <c r="AF106" s="27">
        <f>IF(K105="準本店",1,0)</f>
        <v>0</v>
      </c>
      <c r="AG106" s="76">
        <f>SUM(AE106:AF106)</f>
        <v>20</v>
      </c>
      <c r="AH106" s="18" t="s">
        <v>154</v>
      </c>
      <c r="AJ106" s="27">
        <v>11</v>
      </c>
      <c r="AK106" s="27" t="s">
        <v>5</v>
      </c>
      <c r="AL106" s="27" t="s">
        <v>25</v>
      </c>
      <c r="AM106" s="34">
        <v>1</v>
      </c>
      <c r="AN106" s="229" t="s">
        <v>324</v>
      </c>
      <c r="AO106" s="34" t="e">
        <f>IF(AND('1.基本データ(このシートは削除しないこと！)'!$H$17=3,AC103&gt;=20),VLOOKUP(AC103,AJ95:AM104,4,0),0)</f>
        <v>#N/A</v>
      </c>
      <c r="AP106" s="34" t="e">
        <f>IF(AND('1.基本データ(このシートは削除しないこと！)'!$H$17=3,AG103&gt;=20),VLOOKUP(AG103,AJ95:AM104,4,0),0)</f>
        <v>#N/A</v>
      </c>
      <c r="AQ106" s="203" t="s">
        <v>167</v>
      </c>
      <c r="AT106" s="29" t="e">
        <f>IF(AT105&lt;='1.基本データ(このシートは削除しないこと！)'!H17,1,0)</f>
        <v>#N/A</v>
      </c>
      <c r="AU106" s="18" t="s">
        <v>248</v>
      </c>
      <c r="AY106" s="39"/>
      <c r="AZ106" s="31"/>
    </row>
    <row r="107" spans="1:54" ht="20.100000000000001" customHeight="1" thickBot="1" x14ac:dyDescent="0.25">
      <c r="A107" s="19"/>
      <c r="B107" s="552"/>
      <c r="C107" s="555"/>
      <c r="D107" s="555"/>
      <c r="E107" s="556"/>
      <c r="F107" s="557"/>
      <c r="G107" s="246"/>
      <c r="H107" s="166"/>
      <c r="I107" s="166"/>
      <c r="J107" s="167" t="s">
        <v>387</v>
      </c>
      <c r="K107" s="458" t="str">
        <f>IF(K102="-","-",X107)</f>
        <v>-</v>
      </c>
      <c r="L107" s="459"/>
      <c r="M107" s="459"/>
      <c r="N107" s="459"/>
      <c r="O107" s="459"/>
      <c r="P107" s="459"/>
      <c r="Q107" s="460"/>
      <c r="R107" s="565"/>
      <c r="S107" s="566"/>
      <c r="T107" s="105"/>
      <c r="U107" s="105"/>
      <c r="V107" s="12" t="s">
        <v>261</v>
      </c>
      <c r="W107" s="107" t="str">
        <f>IF(AH103&gt;=0,W103,W106)</f>
        <v>-</v>
      </c>
      <c r="X107" s="107" t="str">
        <f>IF(AH103&gt;=0,X103,X106)</f>
        <v>支店等</v>
      </c>
      <c r="Z107" s="27">
        <f>IF(OR(W102='1.基本データ(このシートは削除しないこと！)'!D21,W102='1.基本データ(このシートは削除しないこと！)'!E21),0,10)</f>
        <v>0</v>
      </c>
      <c r="AA107" s="27">
        <f>IF(OR(K102="本店"),2,0)</f>
        <v>0</v>
      </c>
      <c r="AB107" s="76">
        <f>IF(OR(K102="準本店"),1,0)</f>
        <v>0</v>
      </c>
      <c r="AC107" s="76">
        <f>SUM(Z107:AB107)</f>
        <v>0</v>
      </c>
      <c r="AD107" s="18" t="s">
        <v>151</v>
      </c>
      <c r="AE107" s="27">
        <f>IF(OR(W105='1.基本データ(このシートは削除しないこと！)'!D21,W105='1.基本データ(このシートは削除しないこと！)'!E21),0,10)</f>
        <v>0</v>
      </c>
      <c r="AF107" s="27">
        <f>IF(K105="準本店",1,0)</f>
        <v>0</v>
      </c>
      <c r="AG107" s="27">
        <f>SUM(AE107:AF107)</f>
        <v>0</v>
      </c>
      <c r="AH107" s="18" t="s">
        <v>151</v>
      </c>
      <c r="AJ107" s="27">
        <v>10</v>
      </c>
      <c r="AK107" s="27" t="s">
        <v>5</v>
      </c>
      <c r="AL107" s="27" t="s">
        <v>4</v>
      </c>
      <c r="AM107" s="34">
        <v>0.5</v>
      </c>
      <c r="AN107" s="229" t="s">
        <v>325</v>
      </c>
      <c r="AO107" s="34" t="e">
        <f>IF(AND('1.基本データ(このシートは削除しないこと！)'!$H$17=4,AC103&gt;=10),VLOOKUP(AC103,AJ95:AM107,4,0),0)</f>
        <v>#N/A</v>
      </c>
      <c r="AP107" s="34" t="e">
        <f>IF(AND('1.基本データ(このシートは削除しないこと！)'!$H$17=4,AG103&gt;=10),VLOOKUP(AG103,AJ95:AM107,4,0),0)</f>
        <v>#N/A</v>
      </c>
      <c r="AQ107" s="204" t="e">
        <f>MAX(AO105:AP107)</f>
        <v>#N/A</v>
      </c>
      <c r="AR107" s="103"/>
      <c r="AY107" s="39"/>
      <c r="AZ107" s="31"/>
    </row>
    <row r="108" spans="1:54" ht="20.100000000000001" customHeight="1" thickBot="1" x14ac:dyDescent="0.25">
      <c r="A108" s="19"/>
      <c r="B108" s="472" t="e">
        <f>IF(OR(F100="-",AS109=1),"","※入札参加者の所在地が地域要件ごとの評価対象エリア外のため、「ボランティア活動」と「選択項目」は評価対象外です。")</f>
        <v>#N/A</v>
      </c>
      <c r="C108" s="472"/>
      <c r="D108" s="472"/>
      <c r="E108" s="472"/>
      <c r="F108" s="472"/>
      <c r="G108" s="472"/>
      <c r="H108" s="472"/>
      <c r="I108" s="473"/>
      <c r="J108" s="473"/>
      <c r="K108" s="473"/>
      <c r="L108" s="473"/>
      <c r="M108" s="473"/>
      <c r="N108" s="473"/>
      <c r="O108" s="473"/>
      <c r="P108" s="473"/>
      <c r="Q108" s="473"/>
      <c r="R108" s="473"/>
      <c r="S108" s="472"/>
      <c r="T108" s="105"/>
      <c r="U108" s="105"/>
      <c r="Y108" s="105"/>
      <c r="Z108" s="109"/>
      <c r="AA108" s="110"/>
      <c r="AB108" s="111"/>
      <c r="AC108" s="111"/>
      <c r="AD108" s="112"/>
      <c r="AH108" s="31"/>
      <c r="AI108" s="31"/>
      <c r="AJ108" s="31"/>
      <c r="AK108" s="39"/>
      <c r="AN108" s="31"/>
      <c r="AO108" s="31"/>
      <c r="AP108" s="31"/>
      <c r="AQ108" s="31"/>
      <c r="AS108" s="18" t="s">
        <v>249</v>
      </c>
    </row>
    <row r="109" spans="1:54" ht="28.2" customHeight="1" thickBot="1" x14ac:dyDescent="0.25">
      <c r="A109" s="19"/>
      <c r="B109" s="495" t="s">
        <v>0</v>
      </c>
      <c r="C109" s="495"/>
      <c r="D109" s="495"/>
      <c r="E109" s="22" t="s">
        <v>168</v>
      </c>
      <c r="F109" s="173" t="s">
        <v>2</v>
      </c>
      <c r="G109" s="376" t="s">
        <v>377</v>
      </c>
      <c r="H109" s="377"/>
      <c r="I109" s="377"/>
      <c r="J109" s="377"/>
      <c r="K109" s="377"/>
      <c r="L109" s="377"/>
      <c r="M109" s="377"/>
      <c r="N109" s="377"/>
      <c r="O109" s="377"/>
      <c r="P109" s="377"/>
      <c r="Q109" s="378"/>
      <c r="R109" s="13" t="s">
        <v>265</v>
      </c>
      <c r="S109" s="113" t="s">
        <v>412</v>
      </c>
      <c r="T109" s="105"/>
      <c r="U109" s="105"/>
      <c r="V109" s="114" t="s">
        <v>161</v>
      </c>
      <c r="W109" s="114" t="s">
        <v>219</v>
      </c>
      <c r="X109" s="114" t="s">
        <v>247</v>
      </c>
      <c r="Y109" s="115" t="s">
        <v>155</v>
      </c>
      <c r="Z109" s="116" t="s">
        <v>157</v>
      </c>
      <c r="AA109" s="117" t="s">
        <v>156</v>
      </c>
      <c r="AB109" s="116" t="s">
        <v>158</v>
      </c>
      <c r="AC109" s="117" t="s">
        <v>159</v>
      </c>
      <c r="AD109" s="118" t="s">
        <v>160</v>
      </c>
      <c r="AE109" s="118" t="s">
        <v>246</v>
      </c>
      <c r="AF109" s="230" t="s">
        <v>327</v>
      </c>
      <c r="AG109" s="119" t="s">
        <v>162</v>
      </c>
      <c r="AH109" s="119" t="s">
        <v>163</v>
      </c>
      <c r="AI109" s="119" t="s">
        <v>233</v>
      </c>
      <c r="AK109" s="119" t="s">
        <v>165</v>
      </c>
      <c r="AL109" s="119" t="s">
        <v>166</v>
      </c>
      <c r="AM109" s="119" t="s">
        <v>233</v>
      </c>
      <c r="AN109" s="231" t="s">
        <v>323</v>
      </c>
      <c r="AO109" s="231" t="s">
        <v>326</v>
      </c>
      <c r="AP109" s="232" t="s">
        <v>325</v>
      </c>
      <c r="AQ109" s="203" t="s">
        <v>167</v>
      </c>
      <c r="AS109" s="29" t="e">
        <f>IF(AS104&lt;'1.基本データ(このシートは削除しないこと！)'!H17+1,1,0)</f>
        <v>#N/A</v>
      </c>
      <c r="AT109" s="18" t="s">
        <v>228</v>
      </c>
      <c r="AV109" s="31"/>
      <c r="AW109" s="31"/>
      <c r="AX109" s="31"/>
      <c r="AY109" s="31"/>
      <c r="AZ109" s="31"/>
      <c r="BA109" s="31"/>
      <c r="BB109" s="31"/>
    </row>
    <row r="110" spans="1:54" ht="28.2" customHeight="1" thickBot="1" x14ac:dyDescent="0.25">
      <c r="A110" s="19"/>
      <c r="B110" s="470" t="s">
        <v>216</v>
      </c>
      <c r="C110" s="506" t="s">
        <v>311</v>
      </c>
      <c r="D110" s="558"/>
      <c r="E110" s="214">
        <f>AG110</f>
        <v>2</v>
      </c>
      <c r="F110" s="211" t="e">
        <f>IF(OR(AS$109=0,V110=0),"-",AQ110)</f>
        <v>#N/A</v>
      </c>
      <c r="G110" s="381" t="s">
        <v>371</v>
      </c>
      <c r="H110" s="481"/>
      <c r="I110" s="481"/>
      <c r="J110" s="481"/>
      <c r="K110" s="481"/>
      <c r="L110" s="481"/>
      <c r="M110" s="481"/>
      <c r="N110" s="481"/>
      <c r="O110" s="481"/>
      <c r="P110" s="481"/>
      <c r="Q110" s="382"/>
      <c r="R110" s="207" t="s">
        <v>275</v>
      </c>
      <c r="S110" s="200" t="s">
        <v>275</v>
      </c>
      <c r="T110" s="105"/>
      <c r="U110" s="105"/>
      <c r="V110" s="27">
        <f t="shared" ref="V110:V121" si="6">IF(R110="有",1,0)</f>
        <v>0</v>
      </c>
      <c r="W110" s="108"/>
      <c r="X110" s="27">
        <f>IF(S110="-",0,1)</f>
        <v>0</v>
      </c>
      <c r="Y110" s="120">
        <f>IF(OR(S110='1.基本データ(このシートは削除しないこと！)'!$D$19,S110='1.基本データ(このシートは削除しないこと！)'!$E$19),1,0)</f>
        <v>1</v>
      </c>
      <c r="Z110" s="121" t="str">
        <f>VLOOKUP(S110,リスト2!$C$3:$E$65,2,FALSE)</f>
        <v>-</v>
      </c>
      <c r="AA110" s="122">
        <f>IF(OR(Z110='1.基本データ(このシートは削除しないこと！)'!$D$20,Z110='1.基本データ(このシートは削除しないこと！)'!$E$20),1,0)</f>
        <v>1</v>
      </c>
      <c r="AB110" s="121" t="str">
        <f>VLOOKUP(S110,リスト2!$C$3:$E$65,3,FALSE)</f>
        <v>-</v>
      </c>
      <c r="AC110" s="122">
        <f>IF(OR(AB110='1.基本データ(このシートは削除しないこと！)'!$D$21,AB110='1.基本データ(このシートは削除しないこと！)'!$E$21),1,0)</f>
        <v>1</v>
      </c>
      <c r="AD110" s="123">
        <f t="shared" ref="AD110:AD111" si="7">Y110+AA110+AC110</f>
        <v>3</v>
      </c>
      <c r="AE110" s="123">
        <f>IF(AND('1.基本データ(このシートは削除しないこと！)'!$D$17="全国",AB110&lt;&gt;"-"),4,0)</f>
        <v>0</v>
      </c>
      <c r="AF110" s="233" t="str">
        <f>VLOOKUP(S110,リスト2!$C$3:$F$65,4,FALSE)</f>
        <v>-</v>
      </c>
      <c r="AG110" s="125">
        <v>2</v>
      </c>
      <c r="AH110" s="125">
        <v>2</v>
      </c>
      <c r="AI110" s="125">
        <v>2</v>
      </c>
      <c r="AK110" s="126">
        <f>IF($V110*$X110*$AD110=3,AG110,0)</f>
        <v>0</v>
      </c>
      <c r="AL110" s="126">
        <f>IF($V110*$X110*$AD110=2,AH110,0)</f>
        <v>0</v>
      </c>
      <c r="AM110" s="126">
        <f>IF(OR($V110*$X110*$AD110=1,$V110*$X110*AE110=4),AI110,0)</f>
        <v>0</v>
      </c>
      <c r="AN110" s="48" t="e">
        <f>IF('1.基本データ(このシートは削除しないこと！)'!$H$17=2,MAX(AK110:AL110),0)</f>
        <v>#N/A</v>
      </c>
      <c r="AO110" s="48" t="e">
        <f>IF('1.基本データ(このシートは削除しないこと！)'!$H$17=3,MAX(AK110:AM110),0)</f>
        <v>#N/A</v>
      </c>
      <c r="AP110" s="234" t="e">
        <f>IF(AND('1.基本データ(このシートは削除しないこと！)'!$H$17=4,AF110="県内"),V110*AI110,0)</f>
        <v>#N/A</v>
      </c>
      <c r="AQ110" s="205" t="str">
        <f>IF(V110=1,MAX(AN110:AP110),"-")</f>
        <v>-</v>
      </c>
      <c r="AR110" s="31"/>
      <c r="AS110" s="31"/>
    </row>
    <row r="111" spans="1:54" ht="28.2" customHeight="1" thickBot="1" x14ac:dyDescent="0.25">
      <c r="A111" s="19"/>
      <c r="B111" s="470"/>
      <c r="C111" s="559" t="s">
        <v>312</v>
      </c>
      <c r="D111" s="560"/>
      <c r="E111" s="215">
        <f>AG111</f>
        <v>1</v>
      </c>
      <c r="F111" s="243" t="str">
        <f>IF((V111=0),"-",AQ111)</f>
        <v>-</v>
      </c>
      <c r="G111" s="407" t="s">
        <v>372</v>
      </c>
      <c r="H111" s="479"/>
      <c r="I111" s="479"/>
      <c r="J111" s="479"/>
      <c r="K111" s="479"/>
      <c r="L111" s="479"/>
      <c r="M111" s="479"/>
      <c r="N111" s="479"/>
      <c r="O111" s="479"/>
      <c r="P111" s="479"/>
      <c r="Q111" s="480"/>
      <c r="R111" s="207" t="s">
        <v>275</v>
      </c>
      <c r="S111" s="200" t="s">
        <v>275</v>
      </c>
      <c r="T111" s="105"/>
      <c r="U111" s="105"/>
      <c r="V111" s="27">
        <f t="shared" si="6"/>
        <v>0</v>
      </c>
      <c r="W111" s="108"/>
      <c r="X111" s="27">
        <f t="shared" ref="X111:X119" si="8">IF(S111="-",0,1)</f>
        <v>0</v>
      </c>
      <c r="Y111" s="120">
        <f>IF(OR(S111='1.基本データ(このシートは削除しないこと！)'!$D$19,'2.様式第1号、第6～8号(標準型)'!S111='1.基本データ(このシートは削除しないこと！)'!$E$19),1,0)</f>
        <v>1</v>
      </c>
      <c r="Z111" s="121" t="str">
        <f>VLOOKUP(S111,リスト2!$C$3:$E$65,2,FALSE)</f>
        <v>-</v>
      </c>
      <c r="AA111" s="122">
        <f>IF(OR(Z111='1.基本データ(このシートは削除しないこと！)'!$D$20,Z111='1.基本データ(このシートは削除しないこと！)'!$E$20),1,0)</f>
        <v>1</v>
      </c>
      <c r="AB111" s="121" t="str">
        <f>VLOOKUP(S111,リスト2!$C$3:$E$65,3,FALSE)</f>
        <v>-</v>
      </c>
      <c r="AC111" s="122">
        <f>IF(OR(AB111='1.基本データ(このシートは削除しないこと！)'!$D$21,AB111='1.基本データ(このシートは削除しないこと！)'!$E$21),1,0)</f>
        <v>1</v>
      </c>
      <c r="AD111" s="123">
        <f t="shared" si="7"/>
        <v>3</v>
      </c>
      <c r="AE111" s="123">
        <f>IF(AND('1.基本データ(このシートは削除しないこと！)'!$D$17="全国",AB111&lt;&gt;"-"),4,0)</f>
        <v>0</v>
      </c>
      <c r="AF111" s="233" t="str">
        <f>VLOOKUP(S111,リスト2!$C$3:$F$65,4,FALSE)</f>
        <v>-</v>
      </c>
      <c r="AG111" s="125">
        <v>1</v>
      </c>
      <c r="AH111" s="125">
        <v>1</v>
      </c>
      <c r="AI111" s="125">
        <v>0.5</v>
      </c>
      <c r="AK111" s="126">
        <f>IF($V111*$X111*$AD111=3,AG111,0)</f>
        <v>0</v>
      </c>
      <c r="AL111" s="126">
        <f t="shared" ref="AL111:AL121" si="9">IF($V111*$X111*$AD111=2,AH111,0)</f>
        <v>0</v>
      </c>
      <c r="AM111" s="126">
        <f>IF(OR($V111*$X111*$AD111=1,$V111*$X111*AE111=4),AI111,0)</f>
        <v>0</v>
      </c>
      <c r="AN111" s="48" t="e">
        <f>IF('1.基本データ(このシートは削除しないこと！)'!$H$17=2,MAX(AK111:AL111),0)</f>
        <v>#N/A</v>
      </c>
      <c r="AO111" s="48" t="e">
        <f>IF('1.基本データ(このシートは削除しないこと！)'!$H$17=3,MAX(AK111:AM111),0)</f>
        <v>#N/A</v>
      </c>
      <c r="AP111" s="234" t="e">
        <f>IF(AND('1.基本データ(このシートは削除しないこと！)'!$H$17=4,AF111="県内"),V111*AG111,0)</f>
        <v>#N/A</v>
      </c>
      <c r="AQ111" s="205" t="str">
        <f>IF(V111=1,MAX(AN111:AP111),"-")</f>
        <v>-</v>
      </c>
      <c r="AR111" s="31"/>
      <c r="AS111" s="31"/>
    </row>
    <row r="112" spans="1:54" ht="63" customHeight="1" thickBot="1" x14ac:dyDescent="0.25">
      <c r="A112" s="19"/>
      <c r="B112" s="471"/>
      <c r="C112" s="467" t="s">
        <v>267</v>
      </c>
      <c r="D112" s="496" t="s">
        <v>450</v>
      </c>
      <c r="E112" s="491">
        <v>3.5</v>
      </c>
      <c r="F112" s="474" t="e">
        <f>IF(OR(AS$109=0,AQ112=0,SUM(V112:V114)=0),"-",AT112)</f>
        <v>#N/A</v>
      </c>
      <c r="G112" s="489" t="s">
        <v>451</v>
      </c>
      <c r="H112" s="439" t="s">
        <v>298</v>
      </c>
      <c r="I112" s="440"/>
      <c r="J112" s="440"/>
      <c r="K112" s="440"/>
      <c r="L112" s="440"/>
      <c r="M112" s="440"/>
      <c r="N112" s="440"/>
      <c r="O112" s="440"/>
      <c r="P112" s="440"/>
      <c r="Q112" s="441"/>
      <c r="R112" s="207" t="s">
        <v>275</v>
      </c>
      <c r="S112" s="334" t="s">
        <v>275</v>
      </c>
      <c r="T112" s="127"/>
      <c r="U112" s="127"/>
      <c r="V112" s="128">
        <f t="shared" si="6"/>
        <v>0</v>
      </c>
      <c r="W112" s="446">
        <f>IF(SUM(V112:V114)&gt;0,1,0)</f>
        <v>0</v>
      </c>
      <c r="X112" s="27">
        <f t="shared" si="8"/>
        <v>0</v>
      </c>
      <c r="Y112" s="129">
        <f>IF(OR(S112='1.基本データ(このシートは削除しないこと！)'!$D$19,'2.様式第1号、第6～8号(標準型)'!S112='1.基本データ(このシートは削除しないこと！)'!$E$19),1,0)</f>
        <v>1</v>
      </c>
      <c r="Z112" s="130" t="str">
        <f>VLOOKUP(S112,リスト2!$C$3:$E$65,2,FALSE)</f>
        <v>-</v>
      </c>
      <c r="AA112" s="131">
        <f>IF(OR(Z112='1.基本データ(このシートは削除しないこと！)'!$D$20,Z112='1.基本データ(このシートは削除しないこと！)'!$E$20),1,0)</f>
        <v>1</v>
      </c>
      <c r="AB112" s="130" t="str">
        <f>VLOOKUP(S112,リスト2!$C$3:$E$65,3,FALSE)</f>
        <v>-</v>
      </c>
      <c r="AC112" s="131">
        <f>IF(OR(AB112='1.基本データ(このシートは削除しないこと！)'!$D$21,AB112='1.基本データ(このシートは削除しないこと！)'!$E$21),1,0)</f>
        <v>1</v>
      </c>
      <c r="AD112" s="132">
        <f>IF(Y112+AA112+AC112=3,2,Y112+AA112+AC112)</f>
        <v>2</v>
      </c>
      <c r="AE112" s="123">
        <f>IF(AND('1.基本データ(このシートは削除しないこと！)'!$D$17="全国",AB112&lt;&gt;"-"),4,0)</f>
        <v>0</v>
      </c>
      <c r="AF112" s="233" t="str">
        <f>VLOOKUP(S112,リスト2!$C$3:$F$65,4,FALSE)</f>
        <v>-</v>
      </c>
      <c r="AG112" s="133"/>
      <c r="AH112" s="134">
        <v>3</v>
      </c>
      <c r="AI112" s="134">
        <v>3</v>
      </c>
      <c r="AK112" s="135"/>
      <c r="AL112" s="136">
        <f t="shared" si="9"/>
        <v>0</v>
      </c>
      <c r="AM112" s="136">
        <f t="shared" ref="AM112:AM121" si="10">IF(OR($V112*$X112*$AD112=1,$V112*$X112*AE112=4),AI112,0)</f>
        <v>0</v>
      </c>
      <c r="AN112" s="235" t="e">
        <f>IF('1.基本データ(このシートは削除しないこと！)'!$H$17=2,MAX(AK112:AL112),0)</f>
        <v>#N/A</v>
      </c>
      <c r="AO112" s="235" t="e">
        <f>IF('1.基本データ(このシートは削除しないこと！)'!$H$17=3,MAX(AK112:AM112),0)</f>
        <v>#N/A</v>
      </c>
      <c r="AP112" s="236" t="e">
        <f>IF(AND('1.基本データ(このシートは削除しないこと！)'!$H$17=4,AF112="県内"),V112*AI112,0)</f>
        <v>#N/A</v>
      </c>
      <c r="AQ112" s="434" t="e">
        <f>IF(W112&lt;=2,MAX(AN112:AP114),"-")</f>
        <v>#N/A</v>
      </c>
      <c r="AR112" s="594" t="e">
        <f>AQ112</f>
        <v>#N/A</v>
      </c>
      <c r="AS112" s="595" t="e">
        <f>AQ112+0.5</f>
        <v>#N/A</v>
      </c>
      <c r="AT112" s="29" t="str">
        <f>IF(AT114=1,MAX(AR112:AS114),IF(AT114=2,MIN(AR112:AS114),"-"))</f>
        <v>-</v>
      </c>
    </row>
    <row r="113" spans="1:47" ht="30" customHeight="1" thickBot="1" x14ac:dyDescent="0.25">
      <c r="A113" s="19"/>
      <c r="B113" s="471"/>
      <c r="C113" s="468"/>
      <c r="D113" s="497"/>
      <c r="E113" s="492"/>
      <c r="F113" s="475"/>
      <c r="G113" s="490"/>
      <c r="H113" s="416" t="s">
        <v>266</v>
      </c>
      <c r="I113" s="348"/>
      <c r="J113" s="348"/>
      <c r="K113" s="348"/>
      <c r="L113" s="348"/>
      <c r="M113" s="348"/>
      <c r="N113" s="348"/>
      <c r="O113" s="348"/>
      <c r="P113" s="348"/>
      <c r="Q113" s="349"/>
      <c r="R113" s="207" t="s">
        <v>275</v>
      </c>
      <c r="S113" s="335"/>
      <c r="T113" s="127"/>
      <c r="U113" s="127"/>
      <c r="V113" s="128">
        <f t="shared" ref="V113:V114" si="11">IF(R113="有",1,0)</f>
        <v>0</v>
      </c>
      <c r="W113" s="448"/>
      <c r="X113" s="27">
        <f t="shared" ref="X113:AF113" si="12">X112</f>
        <v>0</v>
      </c>
      <c r="Y113" s="129">
        <f t="shared" si="12"/>
        <v>1</v>
      </c>
      <c r="Z113" s="130" t="str">
        <f t="shared" si="12"/>
        <v>-</v>
      </c>
      <c r="AA113" s="131">
        <f t="shared" si="12"/>
        <v>1</v>
      </c>
      <c r="AB113" s="130" t="str">
        <f t="shared" si="12"/>
        <v>-</v>
      </c>
      <c r="AC113" s="131">
        <f t="shared" si="12"/>
        <v>1</v>
      </c>
      <c r="AD113" s="132">
        <f t="shared" si="12"/>
        <v>2</v>
      </c>
      <c r="AE113" s="123">
        <f t="shared" si="12"/>
        <v>0</v>
      </c>
      <c r="AF113" s="233" t="str">
        <f t="shared" si="12"/>
        <v>-</v>
      </c>
      <c r="AG113" s="133"/>
      <c r="AH113" s="134">
        <v>2.5</v>
      </c>
      <c r="AI113" s="134">
        <v>2.5</v>
      </c>
      <c r="AK113" s="135"/>
      <c r="AL113" s="136">
        <f t="shared" ref="AL113:AL114" si="13">IF($V113*$X113*$AD113=2,AH113,0)</f>
        <v>0</v>
      </c>
      <c r="AM113" s="136">
        <f t="shared" ref="AM113:AM114" si="14">IF(OR($V113*$X113*$AD113=1,$V113*$X113*AE113=4),AI113,0)</f>
        <v>0</v>
      </c>
      <c r="AN113" s="237" t="e">
        <f>IF('1.基本データ(このシートは削除しないこと！)'!$H$17=2,MAX(AK113:AL113),0)</f>
        <v>#N/A</v>
      </c>
      <c r="AO113" s="237" t="e">
        <f>IF('1.基本データ(このシートは削除しないこと！)'!$H$17=3,MAX(AK113:AM113),0)</f>
        <v>#N/A</v>
      </c>
      <c r="AP113" s="238" t="e">
        <f>IF(AND('1.基本データ(このシートは削除しないこと！)'!$H$17=4,AF113="県内"),V113*AI113,0)</f>
        <v>#N/A</v>
      </c>
      <c r="AQ113" s="435"/>
      <c r="AR113" s="594"/>
      <c r="AS113" s="596"/>
      <c r="AT113" s="285"/>
    </row>
    <row r="114" spans="1:47" ht="52.2" customHeight="1" thickBot="1" x14ac:dyDescent="0.25">
      <c r="A114" s="19"/>
      <c r="B114" s="471"/>
      <c r="C114" s="468"/>
      <c r="D114" s="498"/>
      <c r="E114" s="493"/>
      <c r="F114" s="476"/>
      <c r="G114" s="308" t="s">
        <v>275</v>
      </c>
      <c r="H114" s="348" t="s">
        <v>299</v>
      </c>
      <c r="I114" s="348"/>
      <c r="J114" s="348"/>
      <c r="K114" s="348"/>
      <c r="L114" s="348"/>
      <c r="M114" s="348"/>
      <c r="N114" s="348"/>
      <c r="O114" s="348"/>
      <c r="P114" s="348"/>
      <c r="Q114" s="349"/>
      <c r="R114" s="207" t="s">
        <v>275</v>
      </c>
      <c r="S114" s="336"/>
      <c r="T114" s="127"/>
      <c r="U114" s="127"/>
      <c r="V114" s="128">
        <f t="shared" si="11"/>
        <v>0</v>
      </c>
      <c r="W114" s="447"/>
      <c r="X114" s="27">
        <f>X112</f>
        <v>0</v>
      </c>
      <c r="Y114" s="27">
        <f t="shared" ref="Y114:AE114" si="15">Y112</f>
        <v>1</v>
      </c>
      <c r="Z114" s="104" t="str">
        <f t="shared" si="15"/>
        <v>-</v>
      </c>
      <c r="AA114" s="298">
        <f>AA112</f>
        <v>1</v>
      </c>
      <c r="AB114" s="299" t="str">
        <f t="shared" si="15"/>
        <v>-</v>
      </c>
      <c r="AC114" s="60">
        <f t="shared" si="15"/>
        <v>1</v>
      </c>
      <c r="AD114" s="27">
        <f>AD112</f>
        <v>2</v>
      </c>
      <c r="AE114" s="27">
        <f t="shared" si="15"/>
        <v>0</v>
      </c>
      <c r="AF114" s="233" t="str">
        <f>AF112</f>
        <v>-</v>
      </c>
      <c r="AG114" s="133"/>
      <c r="AH114" s="134">
        <v>1.5</v>
      </c>
      <c r="AI114" s="134">
        <v>1.5</v>
      </c>
      <c r="AK114" s="135"/>
      <c r="AL114" s="136">
        <f t="shared" si="13"/>
        <v>0</v>
      </c>
      <c r="AM114" s="136">
        <f t="shared" si="14"/>
        <v>0</v>
      </c>
      <c r="AN114" s="239" t="e">
        <f>IF('1.基本データ(このシートは削除しないこと！)'!$H$17=2,MAX(AK114:AL114),0)</f>
        <v>#N/A</v>
      </c>
      <c r="AO114" s="239" t="e">
        <f>IF('1.基本データ(このシートは削除しないこと！)'!$H$17=3,MAX(AK114:AM114),0)</f>
        <v>#N/A</v>
      </c>
      <c r="AP114" s="240" t="e">
        <f>IF(AND('1.基本データ(このシートは削除しないこと！)'!$H$17=4,AF114="県内"),V114*AI114,0)</f>
        <v>#N/A</v>
      </c>
      <c r="AQ114" s="436"/>
      <c r="AR114" s="594"/>
      <c r="AS114" s="596"/>
      <c r="AT114" s="302">
        <f>IF(G114=リスト!Q4,1,IF(G114=リスト!Q5,2,0))</f>
        <v>0</v>
      </c>
      <c r="AU114" s="60">
        <f>AT114</f>
        <v>0</v>
      </c>
    </row>
    <row r="115" spans="1:47" ht="50.25" customHeight="1" thickBot="1" x14ac:dyDescent="0.25">
      <c r="A115" s="19"/>
      <c r="B115" s="471"/>
      <c r="C115" s="468"/>
      <c r="D115" s="570" t="s">
        <v>313</v>
      </c>
      <c r="E115" s="575">
        <f>AG115</f>
        <v>2.5</v>
      </c>
      <c r="F115" s="465" t="e">
        <f>IF(OR(AS$109=0,V115+V116=0),"-",AQ115)</f>
        <v>#N/A</v>
      </c>
      <c r="G115" s="486" t="s">
        <v>446</v>
      </c>
      <c r="H115" s="487"/>
      <c r="I115" s="487"/>
      <c r="J115" s="487"/>
      <c r="K115" s="487"/>
      <c r="L115" s="487"/>
      <c r="M115" s="487"/>
      <c r="N115" s="487"/>
      <c r="O115" s="487"/>
      <c r="P115" s="487"/>
      <c r="Q115" s="488"/>
      <c r="R115" s="207" t="s">
        <v>275</v>
      </c>
      <c r="S115" s="334" t="s">
        <v>275</v>
      </c>
      <c r="T115" s="137"/>
      <c r="U115" s="137"/>
      <c r="V115" s="128">
        <f t="shared" si="6"/>
        <v>0</v>
      </c>
      <c r="W115" s="446">
        <f>IF(SUM(V115:V116)&gt;0,1,0)+W112</f>
        <v>0</v>
      </c>
      <c r="X115" s="128">
        <f t="shared" si="8"/>
        <v>0</v>
      </c>
      <c r="Y115" s="129">
        <f>IF(OR(S115='1.基本データ(このシートは削除しないこと！)'!$D$19,'2.様式第1号、第6～8号(標準型)'!S115='1.基本データ(このシートは削除しないこと！)'!$E$19),1,0)</f>
        <v>1</v>
      </c>
      <c r="Z115" s="130" t="str">
        <f>VLOOKUP(S115,リスト2!$C$3:$E$65,2,FALSE)</f>
        <v>-</v>
      </c>
      <c r="AA115" s="131">
        <f>IF(OR(Z115='1.基本データ(このシートは削除しないこと！)'!$D$20,Z115='1.基本データ(このシートは削除しないこと！)'!$E$20),1,0)</f>
        <v>1</v>
      </c>
      <c r="AB115" s="130" t="str">
        <f>VLOOKUP(S115,リスト2!$C$3:$E$65,3,FALSE)</f>
        <v>-</v>
      </c>
      <c r="AC115" s="131">
        <f>IF(OR(AB115='1.基本データ(このシートは削除しないこと！)'!$D$21,AB115='1.基本データ(このシートは削除しないこと！)'!$E$21),1,0)</f>
        <v>1</v>
      </c>
      <c r="AD115" s="138">
        <f>Y115+AA115+AC115</f>
        <v>3</v>
      </c>
      <c r="AE115" s="139">
        <f>IF(AND('1.基本データ(このシートは削除しないこと！)'!$D$17="全国",AB115&lt;&gt;"-"),4,0)</f>
        <v>0</v>
      </c>
      <c r="AF115" s="233" t="str">
        <f>VLOOKUP(S115,リスト2!$C$3:$F$65,4,FALSE)</f>
        <v>-</v>
      </c>
      <c r="AG115" s="140">
        <v>2.5</v>
      </c>
      <c r="AH115" s="140">
        <v>2.5</v>
      </c>
      <c r="AI115" s="140">
        <v>2.5</v>
      </c>
      <c r="AK115" s="136">
        <f>IF($V115*$X115*$AD115=3,AG115,0)</f>
        <v>0</v>
      </c>
      <c r="AL115" s="136">
        <f t="shared" si="9"/>
        <v>0</v>
      </c>
      <c r="AM115" s="136">
        <f>IF(OR($V115*$X115*$AD115=1,$V115*$X115*AE115=4),AI115,0)</f>
        <v>0</v>
      </c>
      <c r="AN115" s="235" t="e">
        <f>IF('1.基本データ(このシートは削除しないこと！)'!$H$17=2,MAX(AK115:AL115),0)</f>
        <v>#N/A</v>
      </c>
      <c r="AO115" s="235" t="e">
        <f>IF('1.基本データ(このシートは削除しないこと！)'!$H$17=3,MAX(AK115:AM115),0)</f>
        <v>#N/A</v>
      </c>
      <c r="AP115" s="236" t="e">
        <f>IF(AND('1.基本データ(このシートは削除しないこと！)'!$H$17=4,AF115="県内"),V115*AI115,0)</f>
        <v>#N/A</v>
      </c>
      <c r="AQ115" s="442" t="e">
        <f>IF(W115&lt;=2,MAX(AN115:AP116),"-")</f>
        <v>#N/A</v>
      </c>
    </row>
    <row r="116" spans="1:47" ht="30" customHeight="1" thickBot="1" x14ac:dyDescent="0.25">
      <c r="A116" s="19"/>
      <c r="B116" s="471"/>
      <c r="C116" s="468"/>
      <c r="D116" s="571"/>
      <c r="E116" s="493"/>
      <c r="F116" s="466"/>
      <c r="G116" s="485" t="s">
        <v>373</v>
      </c>
      <c r="H116" s="483"/>
      <c r="I116" s="483"/>
      <c r="J116" s="483"/>
      <c r="K116" s="483"/>
      <c r="L116" s="483"/>
      <c r="M116" s="483"/>
      <c r="N116" s="483"/>
      <c r="O116" s="483"/>
      <c r="P116" s="483"/>
      <c r="Q116" s="484"/>
      <c r="R116" s="207" t="s">
        <v>275</v>
      </c>
      <c r="S116" s="336"/>
      <c r="T116" s="127"/>
      <c r="U116" s="127"/>
      <c r="V116" s="76">
        <f t="shared" si="6"/>
        <v>0</v>
      </c>
      <c r="W116" s="447"/>
      <c r="X116" s="76">
        <f t="shared" ref="X116:AF116" si="16">X115</f>
        <v>0</v>
      </c>
      <c r="Y116" s="141">
        <f t="shared" si="16"/>
        <v>1</v>
      </c>
      <c r="Z116" s="121" t="str">
        <f t="shared" si="16"/>
        <v>-</v>
      </c>
      <c r="AA116" s="122">
        <f t="shared" si="16"/>
        <v>1</v>
      </c>
      <c r="AB116" s="121" t="str">
        <f t="shared" si="16"/>
        <v>-</v>
      </c>
      <c r="AC116" s="122">
        <f t="shared" si="16"/>
        <v>1</v>
      </c>
      <c r="AD116" s="123">
        <f t="shared" si="16"/>
        <v>3</v>
      </c>
      <c r="AE116" s="142">
        <f t="shared" si="16"/>
        <v>0</v>
      </c>
      <c r="AF116" s="233" t="str">
        <f t="shared" si="16"/>
        <v>-</v>
      </c>
      <c r="AG116" s="143">
        <v>1.5</v>
      </c>
      <c r="AH116" s="143">
        <v>1.5</v>
      </c>
      <c r="AI116" s="143">
        <v>1.5</v>
      </c>
      <c r="AK116" s="144">
        <f t="shared" ref="AK116:AK121" si="17">IF($V116*$X116*$AD116=3,AG116,0)</f>
        <v>0</v>
      </c>
      <c r="AL116" s="144">
        <f t="shared" si="9"/>
        <v>0</v>
      </c>
      <c r="AM116" s="144">
        <f t="shared" si="10"/>
        <v>0</v>
      </c>
      <c r="AN116" s="239" t="e">
        <f>IF('1.基本データ(このシートは削除しないこと！)'!$H$17=2,MAX(AK116:AL116),0)</f>
        <v>#N/A</v>
      </c>
      <c r="AO116" s="239" t="e">
        <f>IF('1.基本データ(このシートは削除しないこと！)'!$H$17=3,MAX(AK116:AM116),0)</f>
        <v>#N/A</v>
      </c>
      <c r="AP116" s="240" t="e">
        <f>IF(AND('1.基本データ(このシートは削除しないこと！)'!$H$17=4,AF116="県内"),V116*AI116,0)</f>
        <v>#N/A</v>
      </c>
      <c r="AQ116" s="443"/>
    </row>
    <row r="117" spans="1:47" ht="30" customHeight="1" thickBot="1" x14ac:dyDescent="0.25">
      <c r="A117" s="19"/>
      <c r="B117" s="471"/>
      <c r="C117" s="468"/>
      <c r="D117" s="570" t="s">
        <v>314</v>
      </c>
      <c r="E117" s="575">
        <f>AG117</f>
        <v>2.5</v>
      </c>
      <c r="F117" s="465" t="e">
        <f>IF(OR(AS$109=0,V117+V118=0),"-",AQ117)</f>
        <v>#N/A</v>
      </c>
      <c r="G117" s="485" t="s">
        <v>374</v>
      </c>
      <c r="H117" s="483"/>
      <c r="I117" s="483"/>
      <c r="J117" s="483"/>
      <c r="K117" s="483"/>
      <c r="L117" s="483"/>
      <c r="M117" s="483"/>
      <c r="N117" s="483"/>
      <c r="O117" s="483"/>
      <c r="P117" s="483"/>
      <c r="Q117" s="484"/>
      <c r="R117" s="207" t="s">
        <v>275</v>
      </c>
      <c r="S117" s="334" t="s">
        <v>275</v>
      </c>
      <c r="T117" s="127"/>
      <c r="U117" s="127"/>
      <c r="V117" s="128">
        <f t="shared" si="6"/>
        <v>0</v>
      </c>
      <c r="W117" s="446">
        <f>IF(SUM(V117:V118)&gt;0,1,0)+W115</f>
        <v>0</v>
      </c>
      <c r="X117" s="128">
        <f t="shared" si="8"/>
        <v>0</v>
      </c>
      <c r="Y117" s="129">
        <f>IF(OR(S117='1.基本データ(このシートは削除しないこと！)'!$D$19,'2.様式第1号、第6～8号(標準型)'!S117='1.基本データ(このシートは削除しないこと！)'!$E$19),1,0)</f>
        <v>1</v>
      </c>
      <c r="Z117" s="130" t="str">
        <f>VLOOKUP(S117,リスト2!$C$3:$E$65,2,FALSE)</f>
        <v>-</v>
      </c>
      <c r="AA117" s="131">
        <f>IF(OR(Z117='1.基本データ(このシートは削除しないこと！)'!$D$20,Z117='1.基本データ(このシートは削除しないこと！)'!$E$20),1,0)</f>
        <v>1</v>
      </c>
      <c r="AB117" s="130" t="str">
        <f>VLOOKUP(S117,リスト2!$C$3:$E$65,3,FALSE)</f>
        <v>-</v>
      </c>
      <c r="AC117" s="131">
        <f>IF(OR(AB117='1.基本データ(このシートは削除しないこと！)'!$D$21,AB117='1.基本データ(このシートは削除しないこと！)'!$E$21),1,0)</f>
        <v>1</v>
      </c>
      <c r="AD117" s="138">
        <f t="shared" ref="AD117:AD119" si="18">Y117+AA117+AC117</f>
        <v>3</v>
      </c>
      <c r="AE117" s="139">
        <f>IF(AND('1.基本データ(このシートは削除しないこと！)'!$D$17="全国",AB117&lt;&gt;"-"),4,0)</f>
        <v>0</v>
      </c>
      <c r="AF117" s="233" t="str">
        <f>VLOOKUP(S117,リスト2!$C$3:$F$65,4,FALSE)</f>
        <v>-</v>
      </c>
      <c r="AG117" s="140">
        <v>2.5</v>
      </c>
      <c r="AH117" s="140">
        <v>2.5</v>
      </c>
      <c r="AI117" s="140">
        <v>2.5</v>
      </c>
      <c r="AK117" s="136">
        <f t="shared" si="17"/>
        <v>0</v>
      </c>
      <c r="AL117" s="136">
        <f t="shared" si="9"/>
        <v>0</v>
      </c>
      <c r="AM117" s="136">
        <f t="shared" si="10"/>
        <v>0</v>
      </c>
      <c r="AN117" s="48" t="e">
        <f>IF('1.基本データ(このシートは削除しないこと！)'!$H$17=2,MAX(AK117:AL117),0)</f>
        <v>#N/A</v>
      </c>
      <c r="AO117" s="48" t="e">
        <f>IF('1.基本データ(このシートは削除しないこと！)'!$H$17=3,MAX(AK117:AM117),0)</f>
        <v>#N/A</v>
      </c>
      <c r="AP117" s="234" t="e">
        <f>IF(AND('1.基本データ(このシートは削除しないこと！)'!$H$17=4,AF117="県内"),V117*AI117,0)</f>
        <v>#N/A</v>
      </c>
      <c r="AQ117" s="442" t="e">
        <f>IF(W117&lt;=2,MAX(AN117:AP118),"-")</f>
        <v>#N/A</v>
      </c>
    </row>
    <row r="118" spans="1:47" ht="30" customHeight="1" thickBot="1" x14ac:dyDescent="0.25">
      <c r="A118" s="19"/>
      <c r="B118" s="471"/>
      <c r="C118" s="468"/>
      <c r="D118" s="571"/>
      <c r="E118" s="493"/>
      <c r="F118" s="466"/>
      <c r="G118" s="482" t="s">
        <v>375</v>
      </c>
      <c r="H118" s="483"/>
      <c r="I118" s="483"/>
      <c r="J118" s="483"/>
      <c r="K118" s="483"/>
      <c r="L118" s="483"/>
      <c r="M118" s="483"/>
      <c r="N118" s="483"/>
      <c r="O118" s="483"/>
      <c r="P118" s="483"/>
      <c r="Q118" s="484"/>
      <c r="R118" s="207" t="s">
        <v>275</v>
      </c>
      <c r="S118" s="336"/>
      <c r="T118" s="145"/>
      <c r="U118" s="145"/>
      <c r="V118" s="76">
        <f t="shared" si="6"/>
        <v>0</v>
      </c>
      <c r="W118" s="447"/>
      <c r="X118" s="76">
        <f t="shared" ref="X118:AF118" si="19">X117</f>
        <v>0</v>
      </c>
      <c r="Y118" s="141">
        <f t="shared" si="19"/>
        <v>1</v>
      </c>
      <c r="Z118" s="121" t="str">
        <f t="shared" si="19"/>
        <v>-</v>
      </c>
      <c r="AA118" s="122">
        <f t="shared" si="19"/>
        <v>1</v>
      </c>
      <c r="AB118" s="121" t="str">
        <f t="shared" si="19"/>
        <v>-</v>
      </c>
      <c r="AC118" s="122">
        <f t="shared" si="19"/>
        <v>1</v>
      </c>
      <c r="AD118" s="123">
        <f t="shared" si="19"/>
        <v>3</v>
      </c>
      <c r="AE118" s="142">
        <f t="shared" si="19"/>
        <v>0</v>
      </c>
      <c r="AF118" s="233" t="str">
        <f t="shared" si="19"/>
        <v>-</v>
      </c>
      <c r="AG118" s="143">
        <v>1.5</v>
      </c>
      <c r="AH118" s="143">
        <v>1.5</v>
      </c>
      <c r="AI118" s="143">
        <v>1.5</v>
      </c>
      <c r="AK118" s="144">
        <f t="shared" si="17"/>
        <v>0</v>
      </c>
      <c r="AL118" s="144">
        <f t="shared" si="9"/>
        <v>0</v>
      </c>
      <c r="AM118" s="144">
        <f t="shared" si="10"/>
        <v>0</v>
      </c>
      <c r="AN118" s="48" t="e">
        <f>IF('1.基本データ(このシートは削除しないこと！)'!$H$17=2,MAX(AK118:AL118),0)</f>
        <v>#N/A</v>
      </c>
      <c r="AO118" s="48" t="e">
        <f>IF('1.基本データ(このシートは削除しないこと！)'!$H$17=3,MAX(AK118:AM118),0)</f>
        <v>#N/A</v>
      </c>
      <c r="AP118" s="234" t="e">
        <f>IF(AND('1.基本データ(このシートは削除しないこと！)'!$H$17=4,AF118="県内"),V118*AI118,0)</f>
        <v>#N/A</v>
      </c>
      <c r="AQ118" s="443"/>
    </row>
    <row r="119" spans="1:47" ht="64.95" customHeight="1" thickBot="1" x14ac:dyDescent="0.25">
      <c r="A119" s="19"/>
      <c r="B119" s="471"/>
      <c r="C119" s="468"/>
      <c r="D119" s="572" t="s">
        <v>452</v>
      </c>
      <c r="E119" s="575">
        <v>3.5</v>
      </c>
      <c r="F119" s="567" t="e">
        <f>IF(OR('1.基本データ(このシートは削除しないこと！)'!H16=10,AS$109=0,SUM(V119:V121)=0,AQ119=0),"-",AT119)</f>
        <v>#N/A</v>
      </c>
      <c r="G119" s="346" t="s">
        <v>438</v>
      </c>
      <c r="H119" s="348" t="s">
        <v>445</v>
      </c>
      <c r="I119" s="348"/>
      <c r="J119" s="348"/>
      <c r="K119" s="348"/>
      <c r="L119" s="348"/>
      <c r="M119" s="348"/>
      <c r="N119" s="348"/>
      <c r="O119" s="348"/>
      <c r="P119" s="348"/>
      <c r="Q119" s="349"/>
      <c r="R119" s="207" t="s">
        <v>275</v>
      </c>
      <c r="S119" s="334" t="s">
        <v>275</v>
      </c>
      <c r="T119" s="127"/>
      <c r="U119" s="127"/>
      <c r="V119" s="51">
        <f t="shared" si="6"/>
        <v>0</v>
      </c>
      <c r="W119" s="446">
        <f>IF(SUM(V119:V121)&gt;0,1,0)+W117</f>
        <v>0</v>
      </c>
      <c r="X119" s="146">
        <f t="shared" si="8"/>
        <v>0</v>
      </c>
      <c r="Y119" s="147">
        <f>IF(OR(S119='1.基本データ(このシートは削除しないこと！)'!$D$19,'2.様式第1号、第6～8号(標準型)'!S119='1.基本データ(このシートは削除しないこと！)'!$E$19),1,0)</f>
        <v>1</v>
      </c>
      <c r="Z119" s="148" t="str">
        <f>VLOOKUP(S119,リスト2!$C$3:$E$65,2,FALSE)</f>
        <v>-</v>
      </c>
      <c r="AA119" s="149">
        <f>IF(OR(Z119='1.基本データ(このシートは削除しないこと！)'!$D$20,Z119='1.基本データ(このシートは削除しないこと！)'!$E$20),1,0)</f>
        <v>1</v>
      </c>
      <c r="AB119" s="148" t="str">
        <f>VLOOKUP(S119,リスト2!$C$3:$E$65,3,FALSE)</f>
        <v>-</v>
      </c>
      <c r="AC119" s="149">
        <f>IF(OR(AB119='1.基本データ(このシートは削除しないこと！)'!$D$21,AB119='1.基本データ(このシートは削除しないこと！)'!$E$21),1,0)</f>
        <v>1</v>
      </c>
      <c r="AD119" s="124">
        <f t="shared" si="18"/>
        <v>3</v>
      </c>
      <c r="AE119" s="124">
        <f>IF(AND('1.基本データ(このシートは削除しないこと！)'!$D$17="全国",AB119&lt;&gt;"-"),4,0)</f>
        <v>0</v>
      </c>
      <c r="AF119" s="233" t="str">
        <f>VLOOKUP(S119,リスト2!$C$3:$F$65,4,FALSE)</f>
        <v>-</v>
      </c>
      <c r="AG119" s="140">
        <f>IF('1.基本データ(このシートは削除しないこと！)'!H16=1,3,0)</f>
        <v>0</v>
      </c>
      <c r="AH119" s="140">
        <f>IF('1.基本データ(このシートは削除しないこと！)'!H16=1,3,0)</f>
        <v>0</v>
      </c>
      <c r="AI119" s="140">
        <f>IF('1.基本データ(このシートは削除しないこと！)'!H16=1,3,0)</f>
        <v>0</v>
      </c>
      <c r="AK119" s="150">
        <f>IF($V119*$X119*$AD119=3,AG119,0)</f>
        <v>0</v>
      </c>
      <c r="AL119" s="151">
        <f t="shared" si="9"/>
        <v>0</v>
      </c>
      <c r="AM119" s="151">
        <f t="shared" si="10"/>
        <v>0</v>
      </c>
      <c r="AN119" s="52" t="e">
        <f>IF('1.基本データ(このシートは削除しないこと！)'!$H$17=2,MAX(AK119:AL119),0)</f>
        <v>#N/A</v>
      </c>
      <c r="AO119" s="52" t="e">
        <f>IF('1.基本データ(このシートは削除しないこと！)'!$H$17=3,MAX(AK119:AM119),0)</f>
        <v>#N/A</v>
      </c>
      <c r="AP119" s="292" t="e">
        <f>IF(AND('1.基本データ(このシートは削除しないこと！)'!$H$17=4,AF119="県内"),V119*AI119,0)</f>
        <v>#N/A</v>
      </c>
      <c r="AQ119" s="442" t="e">
        <f>IF(W119&lt;=2,MAX(AN119:AP121),"-")</f>
        <v>#N/A</v>
      </c>
      <c r="AR119" s="328" t="e">
        <f>AQ119</f>
        <v>#N/A</v>
      </c>
      <c r="AS119" s="331" t="e">
        <f>AQ119+0.5</f>
        <v>#N/A</v>
      </c>
      <c r="AT119" s="29" t="str">
        <f>IF(AT121=1,MAX(AR119:AS121),IF(AT121=2,MIN(AR119:AS121),"-"))</f>
        <v>-</v>
      </c>
    </row>
    <row r="120" spans="1:47" ht="49.5" customHeight="1" thickBot="1" x14ac:dyDescent="0.25">
      <c r="A120" s="19"/>
      <c r="B120" s="471"/>
      <c r="C120" s="468"/>
      <c r="D120" s="573"/>
      <c r="E120" s="492"/>
      <c r="F120" s="568"/>
      <c r="G120" s="347"/>
      <c r="H120" s="348" t="s">
        <v>439</v>
      </c>
      <c r="I120" s="348"/>
      <c r="J120" s="348"/>
      <c r="K120" s="348"/>
      <c r="L120" s="348"/>
      <c r="M120" s="348"/>
      <c r="N120" s="348"/>
      <c r="O120" s="348"/>
      <c r="P120" s="348"/>
      <c r="Q120" s="349"/>
      <c r="R120" s="260" t="s">
        <v>275</v>
      </c>
      <c r="S120" s="335"/>
      <c r="T120" s="127"/>
      <c r="U120" s="127"/>
      <c r="V120" s="286">
        <f t="shared" si="6"/>
        <v>0</v>
      </c>
      <c r="W120" s="448"/>
      <c r="X120" s="287">
        <f t="shared" ref="X120:AF120" si="20">X119</f>
        <v>0</v>
      </c>
      <c r="Y120" s="288">
        <f t="shared" si="20"/>
        <v>1</v>
      </c>
      <c r="Z120" s="289" t="str">
        <f t="shared" si="20"/>
        <v>-</v>
      </c>
      <c r="AA120" s="290">
        <f t="shared" si="20"/>
        <v>1</v>
      </c>
      <c r="AB120" s="289" t="str">
        <f t="shared" si="20"/>
        <v>-</v>
      </c>
      <c r="AC120" s="290">
        <f t="shared" si="20"/>
        <v>1</v>
      </c>
      <c r="AD120" s="291">
        <f t="shared" si="20"/>
        <v>3</v>
      </c>
      <c r="AE120" s="291">
        <f t="shared" si="20"/>
        <v>0</v>
      </c>
      <c r="AF120" s="233" t="str">
        <f t="shared" si="20"/>
        <v>-</v>
      </c>
      <c r="AG120" s="295">
        <v>2</v>
      </c>
      <c r="AH120" s="295">
        <v>2</v>
      </c>
      <c r="AI120" s="295">
        <v>2</v>
      </c>
      <c r="AK120" s="296">
        <f>IF($V120*$X120*$AD120=3,AG120,0)</f>
        <v>0</v>
      </c>
      <c r="AL120" s="297">
        <f>IF($V120*$X120*$AD120=2,AH120,0)</f>
        <v>0</v>
      </c>
      <c r="AM120" s="297">
        <f>IF(OR($V120*$X120*$AD120=1,$V120*$X120*AE120=4),AI120,0)</f>
        <v>0</v>
      </c>
      <c r="AN120" s="237" t="e">
        <f>IF('1.基本データ(このシートは削除しないこと！)'!$H$17=2,MAX(AK120:AL120),0)</f>
        <v>#N/A</v>
      </c>
      <c r="AO120" s="237" t="e">
        <f>IF('1.基本データ(このシートは削除しないこと！)'!$H$17=3,MAX(AK120:AM120),0)</f>
        <v>#N/A</v>
      </c>
      <c r="AP120" s="238" t="e">
        <f>IF(AND('1.基本データ(このシートは削除しないこと！)'!$H$17=4,AF120="県内"),V120*AI120,0)</f>
        <v>#N/A</v>
      </c>
      <c r="AQ120" s="444"/>
      <c r="AR120" s="329"/>
      <c r="AS120" s="332"/>
      <c r="AT120" s="285"/>
    </row>
    <row r="121" spans="1:47" ht="39" customHeight="1" thickBot="1" x14ac:dyDescent="0.25">
      <c r="A121" s="19"/>
      <c r="B121" s="471"/>
      <c r="C121" s="469"/>
      <c r="D121" s="574"/>
      <c r="E121" s="576"/>
      <c r="F121" s="569"/>
      <c r="G121" s="309" t="s">
        <v>275</v>
      </c>
      <c r="H121" s="437" t="s">
        <v>376</v>
      </c>
      <c r="I121" s="437"/>
      <c r="J121" s="437"/>
      <c r="K121" s="437"/>
      <c r="L121" s="437"/>
      <c r="M121" s="437"/>
      <c r="N121" s="437"/>
      <c r="O121" s="437"/>
      <c r="P121" s="437"/>
      <c r="Q121" s="438"/>
      <c r="R121" s="207" t="s">
        <v>275</v>
      </c>
      <c r="S121" s="336"/>
      <c r="T121" s="127"/>
      <c r="U121" s="127"/>
      <c r="V121" s="76">
        <f t="shared" si="6"/>
        <v>0</v>
      </c>
      <c r="W121" s="447"/>
      <c r="X121" s="152">
        <f>X119</f>
        <v>0</v>
      </c>
      <c r="Y121" s="141">
        <f t="shared" ref="Y121:AE121" si="21">Y119</f>
        <v>1</v>
      </c>
      <c r="Z121" s="121" t="str">
        <f t="shared" si="21"/>
        <v>-</v>
      </c>
      <c r="AA121" s="122">
        <f t="shared" si="21"/>
        <v>1</v>
      </c>
      <c r="AB121" s="121" t="str">
        <f t="shared" si="21"/>
        <v>-</v>
      </c>
      <c r="AC121" s="122">
        <f t="shared" si="21"/>
        <v>1</v>
      </c>
      <c r="AD121" s="123">
        <f t="shared" si="21"/>
        <v>3</v>
      </c>
      <c r="AE121" s="123">
        <f t="shared" si="21"/>
        <v>0</v>
      </c>
      <c r="AF121" s="233" t="str">
        <f>AF119</f>
        <v>-</v>
      </c>
      <c r="AG121" s="153">
        <v>1.5</v>
      </c>
      <c r="AH121" s="153">
        <v>1.5</v>
      </c>
      <c r="AI121" s="153">
        <v>1.5</v>
      </c>
      <c r="AK121" s="144">
        <f t="shared" si="17"/>
        <v>0</v>
      </c>
      <c r="AL121" s="154">
        <f t="shared" si="9"/>
        <v>0</v>
      </c>
      <c r="AM121" s="154">
        <f t="shared" si="10"/>
        <v>0</v>
      </c>
      <c r="AN121" s="293" t="e">
        <f>IF('1.基本データ(このシートは削除しないこと！)'!$H$17=2,MAX(AK121:AL121),0)</f>
        <v>#N/A</v>
      </c>
      <c r="AO121" s="293" t="e">
        <f>IF('1.基本データ(このシートは削除しないこと！)'!$H$17=3,MAX(AK121:AM121),0)</f>
        <v>#N/A</v>
      </c>
      <c r="AP121" s="294" t="e">
        <f>IF(AND('1.基本データ(このシートは削除しないこと！)'!$H$17=4,AF121="県内"),V121*AI121,0)</f>
        <v>#N/A</v>
      </c>
      <c r="AQ121" s="445"/>
      <c r="AR121" s="330"/>
      <c r="AS121" s="333"/>
      <c r="AT121" s="76">
        <f>IF(G121=リスト!Q4,1,IF(G121=リスト!Q5,2,0))</f>
        <v>0</v>
      </c>
      <c r="AU121" s="60">
        <f>AT121</f>
        <v>0</v>
      </c>
    </row>
    <row r="122" spans="1:47" ht="9.9" customHeight="1" x14ac:dyDescent="0.2">
      <c r="B122" s="553"/>
      <c r="C122" s="553"/>
      <c r="D122" s="553"/>
      <c r="E122" s="553"/>
      <c r="F122" s="553"/>
      <c r="G122" s="553"/>
      <c r="H122" s="553"/>
      <c r="I122" s="553"/>
      <c r="J122" s="553"/>
      <c r="K122" s="553"/>
      <c r="L122" s="553"/>
      <c r="M122" s="553"/>
      <c r="N122" s="553"/>
      <c r="O122" s="553"/>
      <c r="P122" s="553"/>
      <c r="Q122" s="553"/>
      <c r="R122" s="553"/>
      <c r="S122" s="553"/>
    </row>
    <row r="123" spans="1:47" ht="9" customHeight="1" x14ac:dyDescent="0.2"/>
    <row r="124" spans="1:47" ht="9" customHeight="1" x14ac:dyDescent="0.2"/>
    <row r="125" spans="1:47" ht="9" customHeight="1" x14ac:dyDescent="0.2"/>
    <row r="126" spans="1:47" ht="9" customHeight="1" x14ac:dyDescent="0.2"/>
  </sheetData>
  <sheetProtection algorithmName="SHA-512" hashValue="4+P8AKCJ8yB+sg8xPdcvR+ucClxwGzmdZwsXTDoWzKgtH5BORT1CFsBqybZUibRZ8Pyaj4WeHGJA64nEhXG95Q==" saltValue="VVlW8W2vl7I3LpylWUE2Vg==" spinCount="100000" sheet="1" objects="1" scenarios="1"/>
  <mergeCells count="253">
    <mergeCell ref="C91:D91"/>
    <mergeCell ref="AR112:AR114"/>
    <mergeCell ref="AS112:AS114"/>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G57:H57"/>
    <mergeCell ref="G56:H56"/>
    <mergeCell ref="B49:H49"/>
    <mergeCell ref="I53:Q53"/>
    <mergeCell ref="I74:L74"/>
    <mergeCell ref="G70:H71"/>
    <mergeCell ref="I70:R70"/>
    <mergeCell ref="I75:J75"/>
    <mergeCell ref="L76:M76"/>
    <mergeCell ref="O76:P76"/>
    <mergeCell ref="I78:L78"/>
    <mergeCell ref="N78:Q78"/>
    <mergeCell ref="E76:E78"/>
    <mergeCell ref="F76:F78"/>
    <mergeCell ref="E72:E75"/>
    <mergeCell ref="N74:Q74"/>
    <mergeCell ref="K91:S91"/>
    <mergeCell ref="K94:S94"/>
    <mergeCell ref="K95:S95"/>
    <mergeCell ref="K93:S93"/>
    <mergeCell ref="K92:S92"/>
    <mergeCell ref="K96:S96"/>
    <mergeCell ref="K97:S97"/>
    <mergeCell ref="I91:J91"/>
    <mergeCell ref="I92:J92"/>
    <mergeCell ref="I93:J93"/>
    <mergeCell ref="I94:J94"/>
    <mergeCell ref="I95:J9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I97:J97"/>
    <mergeCell ref="B50:D50"/>
    <mergeCell ref="E50:R50"/>
    <mergeCell ref="B52:D52"/>
    <mergeCell ref="F53:F55"/>
    <mergeCell ref="E53:E55"/>
    <mergeCell ref="E56:E58"/>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C67:C71"/>
    <mergeCell ref="S53:S55"/>
    <mergeCell ref="S56:S58"/>
    <mergeCell ref="B53:B66"/>
    <mergeCell ref="F56:F58"/>
    <mergeCell ref="C62:D62"/>
    <mergeCell ref="C61:D61"/>
    <mergeCell ref="C56:D58"/>
    <mergeCell ref="C53:D55"/>
    <mergeCell ref="R61:S61"/>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G65:Q65"/>
    <mergeCell ref="C99:D99"/>
    <mergeCell ref="B109:D109"/>
    <mergeCell ref="D112:D114"/>
    <mergeCell ref="G103:Q103"/>
    <mergeCell ref="G102:H102"/>
    <mergeCell ref="G101:H101"/>
    <mergeCell ref="I99:J99"/>
    <mergeCell ref="K99:S99"/>
    <mergeCell ref="G100:Q100"/>
    <mergeCell ref="G99:H99"/>
    <mergeCell ref="F117:F118"/>
    <mergeCell ref="C112:C121"/>
    <mergeCell ref="B110:B121"/>
    <mergeCell ref="H119:Q119"/>
    <mergeCell ref="B108:S108"/>
    <mergeCell ref="H113:Q113"/>
    <mergeCell ref="H114:Q114"/>
    <mergeCell ref="F112:F114"/>
    <mergeCell ref="G104:H104"/>
    <mergeCell ref="G109:Q109"/>
    <mergeCell ref="G111:Q111"/>
    <mergeCell ref="G110:Q110"/>
    <mergeCell ref="G118:Q118"/>
    <mergeCell ref="G117:Q117"/>
    <mergeCell ref="G116:Q116"/>
    <mergeCell ref="F115:F116"/>
    <mergeCell ref="G115:Q115"/>
    <mergeCell ref="G112:G113"/>
    <mergeCell ref="E112:E114"/>
    <mergeCell ref="AF99:AF100"/>
    <mergeCell ref="AQ112:AQ114"/>
    <mergeCell ref="H121:Q121"/>
    <mergeCell ref="H112:Q112"/>
    <mergeCell ref="AQ115:AQ116"/>
    <mergeCell ref="AQ117:AQ118"/>
    <mergeCell ref="AQ119:AQ121"/>
    <mergeCell ref="S119:S121"/>
    <mergeCell ref="W115:W116"/>
    <mergeCell ref="W117:W118"/>
    <mergeCell ref="W119:W121"/>
    <mergeCell ref="I101:J101"/>
    <mergeCell ref="I102:J102"/>
    <mergeCell ref="I104:J104"/>
    <mergeCell ref="I105:J105"/>
    <mergeCell ref="K101:Q101"/>
    <mergeCell ref="K102:Q102"/>
    <mergeCell ref="K106:Q106"/>
    <mergeCell ref="K105:Q105"/>
    <mergeCell ref="K104:Q104"/>
    <mergeCell ref="K107:Q107"/>
    <mergeCell ref="W112:W114"/>
    <mergeCell ref="G106:H106"/>
    <mergeCell ref="G105:H105"/>
    <mergeCell ref="G98:H98"/>
    <mergeCell ref="G97:H97"/>
    <mergeCell ref="G96:H96"/>
    <mergeCell ref="I98:J98"/>
    <mergeCell ref="G80:H80"/>
    <mergeCell ref="G79:H79"/>
    <mergeCell ref="G78:H78"/>
    <mergeCell ref="G77:H77"/>
    <mergeCell ref="G76:H76"/>
    <mergeCell ref="B86:H86"/>
    <mergeCell ref="B87:D87"/>
    <mergeCell ref="C93:D93"/>
    <mergeCell ref="I96:J96"/>
    <mergeCell ref="C95:D95"/>
    <mergeCell ref="G95:H95"/>
    <mergeCell ref="I79:Q79"/>
    <mergeCell ref="I80:Q80"/>
    <mergeCell ref="I77:L77"/>
    <mergeCell ref="N77:Q77"/>
    <mergeCell ref="B83:S83"/>
    <mergeCell ref="B88:D88"/>
    <mergeCell ref="G93:H93"/>
    <mergeCell ref="G92:H92"/>
    <mergeCell ref="G91:H91"/>
    <mergeCell ref="G90:H90"/>
    <mergeCell ref="G89:S89"/>
    <mergeCell ref="G75:H75"/>
    <mergeCell ref="G74:H74"/>
    <mergeCell ref="G73:H73"/>
    <mergeCell ref="G72:H72"/>
    <mergeCell ref="S76:S78"/>
    <mergeCell ref="E87:R87"/>
    <mergeCell ref="B81:S81"/>
    <mergeCell ref="B82:S82"/>
    <mergeCell ref="S72:S75"/>
    <mergeCell ref="B84:S84"/>
    <mergeCell ref="B67:B80"/>
    <mergeCell ref="S79:S80"/>
    <mergeCell ref="D70:D71"/>
    <mergeCell ref="D67:D69"/>
    <mergeCell ref="F68:F71"/>
    <mergeCell ref="R79:R80"/>
    <mergeCell ref="F72:F75"/>
    <mergeCell ref="E68:E71"/>
    <mergeCell ref="I71:R71"/>
    <mergeCell ref="C76:D78"/>
    <mergeCell ref="C72:D75"/>
    <mergeCell ref="I69:R69"/>
    <mergeCell ref="A5:S5"/>
    <mergeCell ref="Q6:S6"/>
    <mergeCell ref="L10:S10"/>
    <mergeCell ref="L11:S12"/>
    <mergeCell ref="G12:K12"/>
    <mergeCell ref="G13:K13"/>
    <mergeCell ref="L13:S13"/>
    <mergeCell ref="G14:K14"/>
    <mergeCell ref="L14:S14"/>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S59:S60"/>
    <mergeCell ref="R76:R78"/>
    <mergeCell ref="R98:S98"/>
    <mergeCell ref="K98:Q98"/>
    <mergeCell ref="C79:D80"/>
    <mergeCell ref="F79:F80"/>
    <mergeCell ref="E79:E80"/>
    <mergeCell ref="R72:R75"/>
    <mergeCell ref="B85:S85"/>
    <mergeCell ref="G94:H94"/>
  </mergeCells>
  <phoneticPr fontId="36"/>
  <conditionalFormatting sqref="E117 E119:F120 F121 E112:F112 E115:F115 F111 E110:G110 R110:R121">
    <cfRule type="expression" dxfId="15" priority="135">
      <formula>#REF!=0</formula>
    </cfRule>
  </conditionalFormatting>
  <conditionalFormatting sqref="F119:F121">
    <cfRule type="expression" dxfId="14" priority="148">
      <formula>#REF!=2</formula>
    </cfRule>
  </conditionalFormatting>
  <conditionalFormatting sqref="F112 F115 F119:F121 R110:R121">
    <cfRule type="expression" dxfId="13" priority="153">
      <formula>#REF!&gt;2</formula>
    </cfRule>
  </conditionalFormatting>
  <conditionalFormatting sqref="F117 H112:H114 G116:G118">
    <cfRule type="expression" dxfId="12" priority="76">
      <formula>#REF!=0</formula>
    </cfRule>
  </conditionalFormatting>
  <conditionalFormatting sqref="F117 H112:H114 G116:G118">
    <cfRule type="expression" dxfId="11" priority="77">
      <formula>#REF!&gt;2</formula>
    </cfRule>
  </conditionalFormatting>
  <conditionalFormatting sqref="K102">
    <cfRule type="expression" dxfId="10" priority="74">
      <formula>#REF!=0</formula>
    </cfRule>
  </conditionalFormatting>
  <conditionalFormatting sqref="K102">
    <cfRule type="expression" dxfId="9" priority="75">
      <formula>#REF!&gt;2</formula>
    </cfRule>
  </conditionalFormatting>
  <conditionalFormatting sqref="K105">
    <cfRule type="expression" dxfId="8" priority="49">
      <formula>#REF!=0</formula>
    </cfRule>
  </conditionalFormatting>
  <conditionalFormatting sqref="K105">
    <cfRule type="expression" dxfId="7" priority="50">
      <formula>#REF!&gt;2</formula>
    </cfRule>
  </conditionalFormatting>
  <conditionalFormatting sqref="G112">
    <cfRule type="expression" dxfId="6" priority="6">
      <formula>#REF!=0</formula>
    </cfRule>
  </conditionalFormatting>
  <conditionalFormatting sqref="G112">
    <cfRule type="expression" dxfId="5" priority="7">
      <formula>#REF!&gt;2</formula>
    </cfRule>
  </conditionalFormatting>
  <conditionalFormatting sqref="H119:H121">
    <cfRule type="expression" dxfId="4" priority="4">
      <formula>#REF!=0</formula>
    </cfRule>
  </conditionalFormatting>
  <conditionalFormatting sqref="H119:H121">
    <cfRule type="expression" dxfId="3" priority="5">
      <formula>#REF!&gt;2</formula>
    </cfRule>
  </conditionalFormatting>
  <conditionalFormatting sqref="H119:H121">
    <cfRule type="expression" dxfId="2" priority="3">
      <formula>#REF!=2</formula>
    </cfRule>
  </conditionalFormatting>
  <conditionalFormatting sqref="G115">
    <cfRule type="expression" dxfId="1" priority="1">
      <formula>#REF!=0</formula>
    </cfRule>
  </conditionalFormatting>
  <conditionalFormatting sqref="G115">
    <cfRule type="expression" dxfId="0" priority="2">
      <formula>#REF!&gt;2</formula>
    </cfRule>
  </conditionalFormatting>
  <dataValidations count="8">
    <dataValidation imeMode="halfAlpha" allowBlank="1" showInputMessage="1" showErrorMessage="1" sqref="P55"/>
    <dataValidation type="textLength" imeMode="disabled" operator="equal" allowBlank="1" showInputMessage="1" showErrorMessage="1" errorTitle="無効な入力" error="5桁で入力してください" prompt="5桁を入力してください" sqref="L56:M56 L76:M76">
      <formula1>5</formula1>
    </dataValidation>
    <dataValidation type="textLength" imeMode="disabled" operator="equal" allowBlank="1" showInputMessage="1" showErrorMessage="1" errorTitle="無効な入力" error="4桁で入力してください" prompt="4桁を入力してください" sqref="O56:P56 O76:P76">
      <formula1>4</formula1>
    </dataValidation>
    <dataValidation type="whole" imeMode="halfAlpha" allowBlank="1" showInputMessage="1" showErrorMessage="1" errorTitle="無効な入力" error="２桁で入力してください" prompt="2桁を入力してください" sqref="J56 J76">
      <formula1>10</formula1>
      <formula2>24</formula2>
    </dataValidation>
    <dataValidation imeMode="disabled" allowBlank="1" showInputMessage="1" showErrorMessage="1" sqref="N77:Q78 I77:L78 I75:J75 P75 N73:Q74 I73:L74 S70:S71 I54:L54 N54:Q54 I55:J55 I57:L57 N57:Q57"/>
    <dataValidation imeMode="disabled" allowBlank="1" showInputMessage="1" showErrorMessage="1" prompt="&quot;年&quot;が自動表示されます" sqref="S68:S69"/>
    <dataValidation allowBlank="1" showInputMessage="1" showErrorMessage="1" prompt="「氏名」を入力" sqref="G68:H68"/>
    <dataValidation allowBlank="1" showInputMessage="1" showErrorMessage="1" prompt="若手・女性技術者の「氏名」を入力" sqref="K98:Q98"/>
  </dataValidations>
  <printOptions horizontalCentered="1"/>
  <pageMargins left="0.55118110236220474" right="0.55118110236220474" top="0.59055118110236227" bottom="0.19685039370078741" header="0" footer="0.51181102362204722"/>
  <pageSetup paperSize="9" scale="76" orientation="portrait" r:id="rId1"/>
  <rowBreaks count="2" manualBreakCount="2">
    <brk id="47" max="18" man="1"/>
    <brk id="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リスト!$K$9:$K$12</xm:f>
          </x14:formula1>
          <xm:sqref>K99</xm:sqref>
        </x14:dataValidation>
        <x14:dataValidation type="list" allowBlank="1" showInputMessage="1" showErrorMessage="1">
          <x14:formula1>
            <xm:f>リスト!$M$4:$M$5</xm:f>
          </x14:formula1>
          <xm:sqref>K94:K97 S63:S65 I61:Q61 K91:K92 R110:R121</xm:sqref>
        </x14:dataValidation>
        <x14:dataValidation type="list" allowBlank="1" showInputMessage="1" showErrorMessage="1">
          <x14:formula1>
            <xm:f>リスト2!$C$3:$C$64</xm:f>
          </x14:formula1>
          <xm:sqref>K101 K104 S110:S112 S115 S117 S119:S121</xm:sqref>
        </x14:dataValidation>
        <x14:dataValidation type="list" allowBlank="1" showInputMessage="1" showErrorMessage="1">
          <x14:formula1>
            <xm:f>リスト!$N$4:$N$7</xm:f>
          </x14:formula1>
          <xm:sqref>K102</xm:sqref>
        </x14:dataValidation>
        <x14:dataValidation type="list" allowBlank="1" showInputMessage="1" showErrorMessage="1">
          <x14:formula1>
            <xm:f>リスト!$N$5:$N$7</xm:f>
          </x14:formula1>
          <xm:sqref>K105</xm:sqref>
        </x14:dataValidation>
        <x14:dataValidation type="list" allowBlank="1" showInputMessage="1" showErrorMessage="1">
          <x14:formula1>
            <xm:f>リスト!$D$4:$D$7</xm:f>
          </x14:formula1>
          <xm:sqref>I58:L58</xm:sqref>
        </x14:dataValidation>
        <x14:dataValidation type="list" allowBlank="1" showInputMessage="1" showErrorMessage="1" prompt="選択">
          <x14:formula1>
            <xm:f>リスト!$O$4:$O$6</xm:f>
          </x14:formula1>
          <xm:sqref>R98:S98</xm:sqref>
        </x14:dataValidation>
        <x14:dataValidation type="list" allowBlank="1" showInputMessage="1" showErrorMessage="1">
          <x14:formula1>
            <xm:f>リスト!$Q$4:$Q$6</xm:f>
          </x14:formula1>
          <xm:sqref>G114 G121</xm:sqref>
        </x14:dataValidation>
        <x14:dataValidation type="list" allowBlank="1" showInputMessage="1" showErrorMessage="1">
          <x14:formula1>
            <xm:f>リスト!$G$4:$G$5</xm:f>
          </x14:formula1>
          <xm:sqref>S62</xm:sqref>
        </x14:dataValidation>
        <x14:dataValidation type="list" allowBlank="1" showInputMessage="1" showErrorMessage="1">
          <x14:formula1>
            <xm:f>リスト!$T$4:$T$6</xm:f>
          </x14:formula1>
          <xm:sqref>S66</xm:sqref>
        </x14:dataValidation>
        <x14:dataValidation type="list" allowBlank="1" showInputMessage="1" showErrorMessage="1">
          <x14:formula1>
            <xm:f>リスト!$H$9:$H$10</xm:f>
          </x14:formula1>
          <xm:sqref>K90:S90</xm:sqref>
        </x14:dataValidation>
        <x14:dataValidation type="list" allowBlank="1" showInputMessage="1" showErrorMessage="1">
          <x14:formula1>
            <xm:f>リスト!$I$8:$I$9</xm:f>
          </x14:formula1>
          <xm:sqref>K93:S93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1"/>
  <sheetViews>
    <sheetView topLeftCell="G1" workbookViewId="0">
      <selection activeCell="I8" sqref="I8"/>
    </sheetView>
  </sheetViews>
  <sheetFormatPr defaultColWidth="9" defaultRowHeight="13.2" x14ac:dyDescent="0.2"/>
  <cols>
    <col min="1" max="1" width="33.109375" style="2" customWidth="1"/>
    <col min="2" max="2" width="11.33203125" style="2" customWidth="1"/>
    <col min="3" max="3" width="12.44140625" style="2" customWidth="1"/>
    <col min="4" max="4" width="18.77734375" style="2" customWidth="1"/>
    <col min="5" max="5" width="21.6640625" style="2" customWidth="1"/>
    <col min="6" max="6" width="18.77734375" style="2" customWidth="1"/>
    <col min="7" max="7" width="36.109375" style="2" customWidth="1"/>
    <col min="8" max="8" width="88" style="2" customWidth="1"/>
    <col min="9" max="9" width="100.33203125" style="2" customWidth="1"/>
    <col min="10" max="10" width="35.21875" style="2" customWidth="1"/>
    <col min="11" max="11" width="48.109375" style="2" customWidth="1"/>
    <col min="12" max="12" width="22.77734375" style="2" customWidth="1"/>
    <col min="13" max="13" width="9.21875" style="2" customWidth="1"/>
    <col min="14" max="14" width="38.44140625" style="2" customWidth="1"/>
    <col min="15" max="15" width="24.109375" style="2" customWidth="1"/>
    <col min="16" max="16384" width="9" style="2"/>
  </cols>
  <sheetData>
    <row r="3" spans="1:20" x14ac:dyDescent="0.2">
      <c r="A3" s="2" t="s">
        <v>38</v>
      </c>
      <c r="B3" s="2" t="s">
        <v>32</v>
      </c>
      <c r="C3" s="2" t="s">
        <v>16</v>
      </c>
      <c r="D3" s="2" t="s">
        <v>133</v>
      </c>
      <c r="E3" s="2" t="s">
        <v>136</v>
      </c>
      <c r="F3" s="2" t="s">
        <v>120</v>
      </c>
      <c r="G3" s="2" t="s">
        <v>197</v>
      </c>
      <c r="H3" s="2" t="s">
        <v>204</v>
      </c>
      <c r="I3" s="2" t="s">
        <v>202</v>
      </c>
      <c r="J3" s="2" t="s">
        <v>17</v>
      </c>
      <c r="K3" s="3" t="s">
        <v>18</v>
      </c>
      <c r="L3" s="2" t="s">
        <v>19</v>
      </c>
      <c r="M3" s="2" t="s">
        <v>20</v>
      </c>
      <c r="N3" s="2" t="s">
        <v>256</v>
      </c>
      <c r="O3" s="2" t="s">
        <v>300</v>
      </c>
      <c r="Q3" s="247" t="s">
        <v>404</v>
      </c>
      <c r="T3" s="2" t="s">
        <v>253</v>
      </c>
    </row>
    <row r="4" spans="1:20" x14ac:dyDescent="0.2">
      <c r="A4" s="2" t="s">
        <v>37</v>
      </c>
      <c r="B4" s="2" t="s">
        <v>33</v>
      </c>
      <c r="C4" s="2" t="s">
        <v>190</v>
      </c>
      <c r="D4" s="2" t="s">
        <v>356</v>
      </c>
      <c r="E4" s="2" t="s">
        <v>134</v>
      </c>
      <c r="F4" s="2" t="s">
        <v>121</v>
      </c>
      <c r="G4" s="161" t="s">
        <v>362</v>
      </c>
      <c r="H4" s="2" t="s">
        <v>205</v>
      </c>
      <c r="I4" s="2" t="s">
        <v>209</v>
      </c>
      <c r="J4" s="2" t="s">
        <v>169</v>
      </c>
      <c r="K4" s="2" t="s">
        <v>229</v>
      </c>
      <c r="L4" s="2" t="s">
        <v>23</v>
      </c>
      <c r="M4" s="2" t="s">
        <v>24</v>
      </c>
      <c r="N4" s="2" t="s">
        <v>257</v>
      </c>
      <c r="O4" s="2" t="s">
        <v>402</v>
      </c>
      <c r="Q4" s="247" t="s">
        <v>405</v>
      </c>
      <c r="T4" s="2" t="s">
        <v>432</v>
      </c>
    </row>
    <row r="5" spans="1:20" x14ac:dyDescent="0.2">
      <c r="A5" s="2" t="s">
        <v>36</v>
      </c>
      <c r="B5" s="2" t="s">
        <v>34</v>
      </c>
      <c r="C5" s="2" t="s">
        <v>358</v>
      </c>
      <c r="D5" s="2" t="s">
        <v>355</v>
      </c>
      <c r="E5" s="2" t="s">
        <v>29</v>
      </c>
      <c r="F5" s="2" t="s">
        <v>122</v>
      </c>
      <c r="G5" s="2" t="s">
        <v>29</v>
      </c>
      <c r="H5" s="2" t="s">
        <v>206</v>
      </c>
      <c r="I5" s="2" t="s">
        <v>210</v>
      </c>
      <c r="J5" s="2" t="s">
        <v>4</v>
      </c>
      <c r="K5" s="2" t="s">
        <v>29</v>
      </c>
      <c r="L5" s="2" t="s">
        <v>27</v>
      </c>
      <c r="M5" s="2" t="s">
        <v>29</v>
      </c>
      <c r="N5" s="2" t="s">
        <v>25</v>
      </c>
      <c r="O5" s="2" t="s">
        <v>403</v>
      </c>
      <c r="Q5" s="2" t="s">
        <v>406</v>
      </c>
      <c r="T5" s="2" t="s">
        <v>433</v>
      </c>
    </row>
    <row r="6" spans="1:20" x14ac:dyDescent="0.2">
      <c r="B6" s="2" t="s">
        <v>5</v>
      </c>
      <c r="C6" s="2" t="s">
        <v>29</v>
      </c>
      <c r="D6" s="2" t="s">
        <v>280</v>
      </c>
      <c r="F6" s="2" t="s">
        <v>174</v>
      </c>
      <c r="H6" s="2" t="s">
        <v>207</v>
      </c>
      <c r="I6" s="2" t="s">
        <v>211</v>
      </c>
      <c r="J6" s="2" t="s">
        <v>29</v>
      </c>
      <c r="L6" s="2" t="s">
        <v>29</v>
      </c>
      <c r="N6" s="2" t="s">
        <v>4</v>
      </c>
      <c r="O6" s="2" t="s">
        <v>29</v>
      </c>
      <c r="Q6" s="2" t="s">
        <v>29</v>
      </c>
      <c r="T6" s="2" t="s">
        <v>29</v>
      </c>
    </row>
    <row r="7" spans="1:20" x14ac:dyDescent="0.2">
      <c r="B7" s="2" t="s">
        <v>35</v>
      </c>
      <c r="D7" s="2" t="s">
        <v>357</v>
      </c>
      <c r="F7" s="2" t="s">
        <v>175</v>
      </c>
      <c r="H7" s="2" t="s">
        <v>208</v>
      </c>
      <c r="I7" s="2" t="s">
        <v>29</v>
      </c>
      <c r="N7" s="2" t="s">
        <v>258</v>
      </c>
    </row>
    <row r="8" spans="1:20" x14ac:dyDescent="0.2">
      <c r="B8" s="2" t="s">
        <v>29</v>
      </c>
      <c r="F8" s="2" t="s">
        <v>176</v>
      </c>
      <c r="H8" s="2" t="s">
        <v>29</v>
      </c>
      <c r="I8" s="2" t="s">
        <v>431</v>
      </c>
    </row>
    <row r="9" spans="1:20" x14ac:dyDescent="0.2">
      <c r="F9" s="2" t="s">
        <v>177</v>
      </c>
      <c r="H9" s="2" t="s">
        <v>430</v>
      </c>
      <c r="I9" s="2" t="s">
        <v>29</v>
      </c>
      <c r="K9" s="2" t="s">
        <v>230</v>
      </c>
    </row>
    <row r="10" spans="1:20" x14ac:dyDescent="0.2">
      <c r="F10" s="2" t="s">
        <v>178</v>
      </c>
      <c r="H10" s="2" t="s">
        <v>29</v>
      </c>
      <c r="K10" s="2" t="s">
        <v>231</v>
      </c>
    </row>
    <row r="11" spans="1:20" x14ac:dyDescent="0.2">
      <c r="F11" s="2" t="s">
        <v>179</v>
      </c>
      <c r="K11" s="2" t="s">
        <v>232</v>
      </c>
    </row>
    <row r="12" spans="1:20" x14ac:dyDescent="0.2">
      <c r="F12" s="2" t="s">
        <v>180</v>
      </c>
      <c r="K12" s="2" t="s">
        <v>29</v>
      </c>
    </row>
    <row r="13" spans="1:20" x14ac:dyDescent="0.2">
      <c r="F13" s="2" t="s">
        <v>181</v>
      </c>
    </row>
    <row r="14" spans="1:20" x14ac:dyDescent="0.2">
      <c r="F14" s="2" t="s">
        <v>182</v>
      </c>
    </row>
    <row r="15" spans="1:20" x14ac:dyDescent="0.2">
      <c r="F15" s="2" t="s">
        <v>183</v>
      </c>
    </row>
    <row r="16" spans="1:20" x14ac:dyDescent="0.2">
      <c r="F16" s="2" t="s">
        <v>184</v>
      </c>
    </row>
    <row r="17" spans="6:6" x14ac:dyDescent="0.2">
      <c r="F17" s="2" t="s">
        <v>185</v>
      </c>
    </row>
    <row r="18" spans="6:6" x14ac:dyDescent="0.2">
      <c r="F18" s="2" t="s">
        <v>186</v>
      </c>
    </row>
    <row r="19" spans="6:6" x14ac:dyDescent="0.2">
      <c r="F19" s="2" t="s">
        <v>187</v>
      </c>
    </row>
    <row r="20" spans="6:6" x14ac:dyDescent="0.2">
      <c r="F20" s="2" t="s">
        <v>188</v>
      </c>
    </row>
    <row r="21" spans="6:6" x14ac:dyDescent="0.2">
      <c r="F21" s="2" t="s">
        <v>189</v>
      </c>
    </row>
  </sheetData>
  <sheetProtection password="F450" sheet="1" objects="1" scenarios="1"/>
  <phoneticPr fontId="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zoomScaleNormal="100" zoomScaleSheetLayoutView="100" workbookViewId="0">
      <selection activeCell="G21" sqref="G21"/>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4" t="s">
        <v>142</v>
      </c>
      <c r="C2" s="4" t="s">
        <v>117</v>
      </c>
      <c r="D2" s="5" t="s">
        <v>141</v>
      </c>
      <c r="E2" s="4" t="s">
        <v>118</v>
      </c>
      <c r="F2" s="185" t="s">
        <v>328</v>
      </c>
      <c r="G2" s="4" t="s">
        <v>32</v>
      </c>
      <c r="H2" s="1" t="s">
        <v>222</v>
      </c>
      <c r="I2" s="1"/>
    </row>
    <row r="3" spans="2:9" x14ac:dyDescent="0.2">
      <c r="B3" s="6">
        <v>1</v>
      </c>
      <c r="C3" s="6" t="s">
        <v>60</v>
      </c>
      <c r="D3" s="6" t="s">
        <v>39</v>
      </c>
      <c r="E3" s="6" t="s">
        <v>55</v>
      </c>
      <c r="F3" s="1" t="s">
        <v>5</v>
      </c>
      <c r="G3" s="6" t="s">
        <v>33</v>
      </c>
      <c r="H3" s="1" t="s">
        <v>223</v>
      </c>
      <c r="I3" s="1">
        <v>2</v>
      </c>
    </row>
    <row r="4" spans="2:9" x14ac:dyDescent="0.2">
      <c r="B4" s="6">
        <v>2</v>
      </c>
      <c r="C4" s="6" t="s">
        <v>61</v>
      </c>
      <c r="D4" s="6" t="s">
        <v>39</v>
      </c>
      <c r="E4" s="6" t="s">
        <v>55</v>
      </c>
      <c r="F4" s="1" t="s">
        <v>5</v>
      </c>
      <c r="G4" s="6" t="s">
        <v>34</v>
      </c>
      <c r="H4" s="1" t="s">
        <v>224</v>
      </c>
      <c r="I4" s="1">
        <v>3</v>
      </c>
    </row>
    <row r="5" spans="2:9" x14ac:dyDescent="0.2">
      <c r="B5" s="6">
        <v>3</v>
      </c>
      <c r="C5" s="6" t="s">
        <v>62</v>
      </c>
      <c r="D5" s="6" t="s">
        <v>40</v>
      </c>
      <c r="E5" s="6" t="s">
        <v>55</v>
      </c>
      <c r="F5" s="1" t="s">
        <v>5</v>
      </c>
      <c r="G5" s="6" t="s">
        <v>5</v>
      </c>
      <c r="H5" s="1" t="s">
        <v>224</v>
      </c>
      <c r="I5" s="1">
        <v>3</v>
      </c>
    </row>
    <row r="6" spans="2:9" x14ac:dyDescent="0.2">
      <c r="B6" s="6">
        <v>4</v>
      </c>
      <c r="C6" s="6" t="s">
        <v>63</v>
      </c>
      <c r="D6" s="6" t="s">
        <v>40</v>
      </c>
      <c r="E6" s="6" t="s">
        <v>55</v>
      </c>
      <c r="F6" s="1" t="s">
        <v>5</v>
      </c>
      <c r="G6" s="6" t="s">
        <v>35</v>
      </c>
      <c r="H6" s="1" t="s">
        <v>225</v>
      </c>
      <c r="I6" s="1">
        <v>4</v>
      </c>
    </row>
    <row r="7" spans="2:9" x14ac:dyDescent="0.2">
      <c r="B7" s="6">
        <v>5</v>
      </c>
      <c r="C7" s="6" t="s">
        <v>64</v>
      </c>
      <c r="D7" s="6" t="s">
        <v>40</v>
      </c>
      <c r="E7" s="6" t="s">
        <v>55</v>
      </c>
      <c r="F7" s="1" t="s">
        <v>5</v>
      </c>
      <c r="G7" s="6" t="s">
        <v>29</v>
      </c>
      <c r="H7" s="1"/>
      <c r="I7" s="1"/>
    </row>
    <row r="8" spans="2:9" x14ac:dyDescent="0.2">
      <c r="B8" s="6">
        <v>6</v>
      </c>
      <c r="C8" s="6" t="s">
        <v>65</v>
      </c>
      <c r="D8" s="6" t="s">
        <v>41</v>
      </c>
      <c r="E8" s="6" t="s">
        <v>55</v>
      </c>
      <c r="F8" s="1" t="s">
        <v>5</v>
      </c>
    </row>
    <row r="9" spans="2:9" x14ac:dyDescent="0.2">
      <c r="B9" s="6">
        <v>7</v>
      </c>
      <c r="C9" s="6" t="s">
        <v>66</v>
      </c>
      <c r="D9" s="6" t="s">
        <v>41</v>
      </c>
      <c r="E9" s="6" t="s">
        <v>55</v>
      </c>
      <c r="F9" s="1" t="s">
        <v>5</v>
      </c>
    </row>
    <row r="10" spans="2:9" x14ac:dyDescent="0.2">
      <c r="B10" s="6">
        <v>8</v>
      </c>
      <c r="C10" s="6" t="s">
        <v>67</v>
      </c>
      <c r="D10" s="6" t="s">
        <v>41</v>
      </c>
      <c r="E10" s="6" t="s">
        <v>55</v>
      </c>
      <c r="F10" s="1" t="s">
        <v>5</v>
      </c>
    </row>
    <row r="11" spans="2:9" x14ac:dyDescent="0.2">
      <c r="B11" s="6">
        <v>9</v>
      </c>
      <c r="C11" s="6" t="s">
        <v>68</v>
      </c>
      <c r="D11" s="6" t="s">
        <v>47</v>
      </c>
      <c r="E11" s="6" t="s">
        <v>42</v>
      </c>
      <c r="F11" s="1" t="s">
        <v>5</v>
      </c>
    </row>
    <row r="12" spans="2:9" x14ac:dyDescent="0.2">
      <c r="B12" s="6">
        <v>10</v>
      </c>
      <c r="C12" s="6" t="s">
        <v>69</v>
      </c>
      <c r="D12" s="6" t="s">
        <v>43</v>
      </c>
      <c r="E12" s="6" t="s">
        <v>42</v>
      </c>
      <c r="F12" s="1" t="s">
        <v>5</v>
      </c>
    </row>
    <row r="13" spans="2:9" x14ac:dyDescent="0.2">
      <c r="B13" s="6">
        <v>11</v>
      </c>
      <c r="C13" s="6" t="s">
        <v>70</v>
      </c>
      <c r="D13" s="6" t="s">
        <v>43</v>
      </c>
      <c r="E13" s="6" t="s">
        <v>42</v>
      </c>
      <c r="F13" s="1" t="s">
        <v>5</v>
      </c>
    </row>
    <row r="14" spans="2:9" x14ac:dyDescent="0.2">
      <c r="B14" s="6">
        <v>12</v>
      </c>
      <c r="C14" s="6" t="s">
        <v>71</v>
      </c>
      <c r="D14" s="6" t="s">
        <v>43</v>
      </c>
      <c r="E14" s="6" t="s">
        <v>42</v>
      </c>
      <c r="F14" s="1" t="s">
        <v>5</v>
      </c>
    </row>
    <row r="15" spans="2:9" x14ac:dyDescent="0.2">
      <c r="B15" s="6">
        <v>13</v>
      </c>
      <c r="C15" s="6" t="s">
        <v>72</v>
      </c>
      <c r="D15" s="6" t="s">
        <v>44</v>
      </c>
      <c r="E15" s="6" t="s">
        <v>42</v>
      </c>
      <c r="F15" s="1" t="s">
        <v>5</v>
      </c>
    </row>
    <row r="16" spans="2:9" x14ac:dyDescent="0.2">
      <c r="B16" s="6">
        <v>14</v>
      </c>
      <c r="C16" s="6" t="s">
        <v>73</v>
      </c>
      <c r="D16" s="6" t="s">
        <v>44</v>
      </c>
      <c r="E16" s="6" t="s">
        <v>42</v>
      </c>
      <c r="F16" s="1" t="s">
        <v>5</v>
      </c>
    </row>
    <row r="17" spans="2:6" x14ac:dyDescent="0.2">
      <c r="B17" s="6">
        <v>15</v>
      </c>
      <c r="C17" s="6" t="s">
        <v>74</v>
      </c>
      <c r="D17" s="6" t="s">
        <v>44</v>
      </c>
      <c r="E17" s="6" t="s">
        <v>42</v>
      </c>
      <c r="F17" s="1" t="s">
        <v>5</v>
      </c>
    </row>
    <row r="18" spans="2:6" x14ac:dyDescent="0.2">
      <c r="B18" s="6">
        <v>16</v>
      </c>
      <c r="C18" s="6" t="s">
        <v>75</v>
      </c>
      <c r="D18" s="6" t="s">
        <v>45</v>
      </c>
      <c r="E18" s="6" t="s">
        <v>42</v>
      </c>
      <c r="F18" s="1" t="s">
        <v>5</v>
      </c>
    </row>
    <row r="19" spans="2:6" x14ac:dyDescent="0.2">
      <c r="B19" s="6">
        <v>17</v>
      </c>
      <c r="C19" s="6" t="s">
        <v>76</v>
      </c>
      <c r="D19" s="6" t="s">
        <v>45</v>
      </c>
      <c r="E19" s="6" t="s">
        <v>42</v>
      </c>
      <c r="F19" s="1" t="s">
        <v>5</v>
      </c>
    </row>
    <row r="20" spans="2:6" x14ac:dyDescent="0.2">
      <c r="B20" s="6">
        <v>18</v>
      </c>
      <c r="C20" s="6" t="s">
        <v>77</v>
      </c>
      <c r="D20" s="6" t="s">
        <v>45</v>
      </c>
      <c r="E20" s="6" t="s">
        <v>42</v>
      </c>
      <c r="F20" s="1" t="s">
        <v>5</v>
      </c>
    </row>
    <row r="21" spans="2:6" x14ac:dyDescent="0.2">
      <c r="B21" s="6">
        <v>19</v>
      </c>
      <c r="C21" s="6" t="s">
        <v>78</v>
      </c>
      <c r="D21" s="6" t="s">
        <v>45</v>
      </c>
      <c r="E21" s="6" t="s">
        <v>42</v>
      </c>
      <c r="F21" s="1" t="s">
        <v>5</v>
      </c>
    </row>
    <row r="22" spans="2:6" x14ac:dyDescent="0.2">
      <c r="B22" s="6">
        <v>20</v>
      </c>
      <c r="C22" s="6" t="s">
        <v>79</v>
      </c>
      <c r="D22" s="6" t="s">
        <v>45</v>
      </c>
      <c r="E22" s="6" t="s">
        <v>42</v>
      </c>
      <c r="F22" s="1" t="s">
        <v>5</v>
      </c>
    </row>
    <row r="23" spans="2:6" x14ac:dyDescent="0.2">
      <c r="B23" s="6">
        <v>21</v>
      </c>
      <c r="C23" s="6" t="s">
        <v>80</v>
      </c>
      <c r="D23" s="6" t="s">
        <v>46</v>
      </c>
      <c r="E23" s="7" t="s">
        <v>56</v>
      </c>
      <c r="F23" s="1" t="s">
        <v>5</v>
      </c>
    </row>
    <row r="24" spans="2:6" x14ac:dyDescent="0.2">
      <c r="B24" s="6">
        <v>22</v>
      </c>
      <c r="C24" s="6" t="s">
        <v>81</v>
      </c>
      <c r="D24" s="6" t="s">
        <v>46</v>
      </c>
      <c r="E24" s="7" t="s">
        <v>56</v>
      </c>
      <c r="F24" s="1" t="s">
        <v>5</v>
      </c>
    </row>
    <row r="25" spans="2:6" x14ac:dyDescent="0.2">
      <c r="B25" s="6">
        <v>23</v>
      </c>
      <c r="C25" s="6" t="s">
        <v>82</v>
      </c>
      <c r="D25" s="6" t="s">
        <v>46</v>
      </c>
      <c r="E25" s="7" t="s">
        <v>56</v>
      </c>
      <c r="F25" s="1" t="s">
        <v>5</v>
      </c>
    </row>
    <row r="26" spans="2:6" x14ac:dyDescent="0.2">
      <c r="B26" s="6">
        <v>24</v>
      </c>
      <c r="C26" s="6" t="s">
        <v>83</v>
      </c>
      <c r="D26" s="6" t="s">
        <v>46</v>
      </c>
      <c r="E26" s="7" t="s">
        <v>56</v>
      </c>
      <c r="F26" s="1" t="s">
        <v>5</v>
      </c>
    </row>
    <row r="27" spans="2:6" x14ac:dyDescent="0.2">
      <c r="B27" s="6">
        <v>25</v>
      </c>
      <c r="C27" s="6" t="s">
        <v>84</v>
      </c>
      <c r="D27" s="6" t="s">
        <v>46</v>
      </c>
      <c r="E27" s="7" t="s">
        <v>56</v>
      </c>
      <c r="F27" s="1" t="s">
        <v>5</v>
      </c>
    </row>
    <row r="28" spans="2:6" x14ac:dyDescent="0.2">
      <c r="B28" s="6">
        <v>26</v>
      </c>
      <c r="C28" s="6" t="s">
        <v>85</v>
      </c>
      <c r="D28" s="6" t="s">
        <v>48</v>
      </c>
      <c r="E28" s="7" t="s">
        <v>56</v>
      </c>
      <c r="F28" s="1" t="s">
        <v>5</v>
      </c>
    </row>
    <row r="29" spans="2:6" x14ac:dyDescent="0.2">
      <c r="B29" s="6">
        <v>27</v>
      </c>
      <c r="C29" s="6" t="s">
        <v>86</v>
      </c>
      <c r="D29" s="6" t="s">
        <v>48</v>
      </c>
      <c r="E29" s="7" t="s">
        <v>56</v>
      </c>
      <c r="F29" s="1" t="s">
        <v>5</v>
      </c>
    </row>
    <row r="30" spans="2:6" x14ac:dyDescent="0.2">
      <c r="B30" s="6">
        <v>28</v>
      </c>
      <c r="C30" s="6" t="s">
        <v>87</v>
      </c>
      <c r="D30" s="6" t="s">
        <v>48</v>
      </c>
      <c r="E30" s="7" t="s">
        <v>56</v>
      </c>
      <c r="F30" s="1" t="s">
        <v>5</v>
      </c>
    </row>
    <row r="31" spans="2:6" x14ac:dyDescent="0.2">
      <c r="B31" s="6">
        <v>29</v>
      </c>
      <c r="C31" s="6" t="s">
        <v>88</v>
      </c>
      <c r="D31" s="6" t="s">
        <v>48</v>
      </c>
      <c r="E31" s="7" t="s">
        <v>56</v>
      </c>
      <c r="F31" s="1" t="s">
        <v>5</v>
      </c>
    </row>
    <row r="32" spans="2:6" x14ac:dyDescent="0.2">
      <c r="B32" s="6">
        <v>30</v>
      </c>
      <c r="C32" s="6" t="s">
        <v>89</v>
      </c>
      <c r="D32" s="6" t="s">
        <v>49</v>
      </c>
      <c r="E32" s="7" t="s">
        <v>57</v>
      </c>
      <c r="F32" s="1" t="s">
        <v>5</v>
      </c>
    </row>
    <row r="33" spans="2:6" x14ac:dyDescent="0.2">
      <c r="B33" s="6">
        <v>31</v>
      </c>
      <c r="C33" s="6" t="s">
        <v>90</v>
      </c>
      <c r="D33" s="6" t="s">
        <v>49</v>
      </c>
      <c r="E33" s="7" t="s">
        <v>57</v>
      </c>
      <c r="F33" s="1" t="s">
        <v>5</v>
      </c>
    </row>
    <row r="34" spans="2:6" x14ac:dyDescent="0.2">
      <c r="B34" s="6">
        <v>32</v>
      </c>
      <c r="C34" s="6" t="s">
        <v>91</v>
      </c>
      <c r="D34" s="6" t="s">
        <v>49</v>
      </c>
      <c r="E34" s="7" t="s">
        <v>57</v>
      </c>
      <c r="F34" s="1" t="s">
        <v>5</v>
      </c>
    </row>
    <row r="35" spans="2:6" x14ac:dyDescent="0.2">
      <c r="B35" s="6">
        <v>33</v>
      </c>
      <c r="C35" s="6" t="s">
        <v>92</v>
      </c>
      <c r="D35" s="6" t="s">
        <v>49</v>
      </c>
      <c r="E35" s="7" t="s">
        <v>57</v>
      </c>
      <c r="F35" s="1" t="s">
        <v>5</v>
      </c>
    </row>
    <row r="36" spans="2:6" x14ac:dyDescent="0.2">
      <c r="B36" s="6">
        <v>34</v>
      </c>
      <c r="C36" s="6" t="s">
        <v>93</v>
      </c>
      <c r="D36" s="6" t="s">
        <v>50</v>
      </c>
      <c r="E36" s="7" t="s">
        <v>57</v>
      </c>
      <c r="F36" s="1" t="s">
        <v>5</v>
      </c>
    </row>
    <row r="37" spans="2:6" x14ac:dyDescent="0.2">
      <c r="B37" s="6">
        <v>35</v>
      </c>
      <c r="C37" s="6" t="s">
        <v>94</v>
      </c>
      <c r="D37" s="6" t="s">
        <v>50</v>
      </c>
      <c r="E37" s="7" t="s">
        <v>57</v>
      </c>
      <c r="F37" s="1" t="s">
        <v>5</v>
      </c>
    </row>
    <row r="38" spans="2:6" x14ac:dyDescent="0.2">
      <c r="B38" s="6">
        <v>36</v>
      </c>
      <c r="C38" s="6" t="s">
        <v>95</v>
      </c>
      <c r="D38" s="6" t="s">
        <v>50</v>
      </c>
      <c r="E38" s="7" t="s">
        <v>57</v>
      </c>
      <c r="F38" s="1" t="s">
        <v>5</v>
      </c>
    </row>
    <row r="39" spans="2:6" x14ac:dyDescent="0.2">
      <c r="B39" s="6">
        <v>37</v>
      </c>
      <c r="C39" s="6" t="s">
        <v>96</v>
      </c>
      <c r="D39" s="6" t="s">
        <v>50</v>
      </c>
      <c r="E39" s="7" t="s">
        <v>57</v>
      </c>
      <c r="F39" s="1" t="s">
        <v>5</v>
      </c>
    </row>
    <row r="40" spans="2:6" x14ac:dyDescent="0.2">
      <c r="B40" s="6">
        <v>38</v>
      </c>
      <c r="C40" s="6" t="s">
        <v>21</v>
      </c>
      <c r="D40" s="6" t="s">
        <v>22</v>
      </c>
      <c r="E40" s="6" t="s">
        <v>23</v>
      </c>
      <c r="F40" s="1" t="s">
        <v>5</v>
      </c>
    </row>
    <row r="41" spans="2:6" x14ac:dyDescent="0.2">
      <c r="B41" s="6">
        <v>39</v>
      </c>
      <c r="C41" s="6" t="s">
        <v>101</v>
      </c>
      <c r="D41" s="6" t="s">
        <v>22</v>
      </c>
      <c r="E41" s="6" t="s">
        <v>23</v>
      </c>
      <c r="F41" s="1" t="s">
        <v>5</v>
      </c>
    </row>
    <row r="42" spans="2:6" x14ac:dyDescent="0.2">
      <c r="B42" s="6">
        <v>40</v>
      </c>
      <c r="C42" s="6" t="s">
        <v>28</v>
      </c>
      <c r="D42" s="6" t="s">
        <v>22</v>
      </c>
      <c r="E42" s="6" t="s">
        <v>23</v>
      </c>
      <c r="F42" s="1" t="s">
        <v>5</v>
      </c>
    </row>
    <row r="43" spans="2:6" x14ac:dyDescent="0.2">
      <c r="B43" s="6">
        <v>41</v>
      </c>
      <c r="C43" s="6" t="s">
        <v>30</v>
      </c>
      <c r="D43" s="6" t="s">
        <v>26</v>
      </c>
      <c r="E43" s="6" t="s">
        <v>23</v>
      </c>
      <c r="F43" s="1" t="s">
        <v>5</v>
      </c>
    </row>
    <row r="44" spans="2:6" x14ac:dyDescent="0.2">
      <c r="B44" s="6">
        <v>42</v>
      </c>
      <c r="C44" s="6" t="s">
        <v>31</v>
      </c>
      <c r="D44" s="6" t="s">
        <v>26</v>
      </c>
      <c r="E44" s="6" t="s">
        <v>23</v>
      </c>
      <c r="F44" s="1" t="s">
        <v>5</v>
      </c>
    </row>
    <row r="45" spans="2:6" x14ac:dyDescent="0.2">
      <c r="B45" s="6">
        <v>43</v>
      </c>
      <c r="C45" s="6" t="s">
        <v>102</v>
      </c>
      <c r="D45" s="6" t="s">
        <v>26</v>
      </c>
      <c r="E45" s="6" t="s">
        <v>23</v>
      </c>
      <c r="F45" s="1" t="s">
        <v>5</v>
      </c>
    </row>
    <row r="46" spans="2:6" x14ac:dyDescent="0.2">
      <c r="B46" s="6">
        <v>44</v>
      </c>
      <c r="C46" s="6" t="s">
        <v>97</v>
      </c>
      <c r="D46" s="6" t="s">
        <v>51</v>
      </c>
      <c r="E46" s="6" t="s">
        <v>27</v>
      </c>
      <c r="F46" s="1" t="s">
        <v>5</v>
      </c>
    </row>
    <row r="47" spans="2:6" x14ac:dyDescent="0.2">
      <c r="B47" s="6">
        <v>45</v>
      </c>
      <c r="C47" s="6" t="s">
        <v>99</v>
      </c>
      <c r="D47" s="6" t="s">
        <v>51</v>
      </c>
      <c r="E47" s="6" t="s">
        <v>27</v>
      </c>
      <c r="F47" s="1" t="s">
        <v>5</v>
      </c>
    </row>
    <row r="48" spans="2:6" x14ac:dyDescent="0.2">
      <c r="B48" s="6">
        <v>46</v>
      </c>
      <c r="C48" s="6" t="s">
        <v>100</v>
      </c>
      <c r="D48" s="6" t="s">
        <v>52</v>
      </c>
      <c r="E48" s="6" t="s">
        <v>27</v>
      </c>
      <c r="F48" s="1" t="s">
        <v>5</v>
      </c>
    </row>
    <row r="49" spans="2:6" x14ac:dyDescent="0.2">
      <c r="B49" s="6">
        <v>47</v>
      </c>
      <c r="C49" s="6" t="s">
        <v>98</v>
      </c>
      <c r="D49" s="6" t="s">
        <v>52</v>
      </c>
      <c r="E49" s="6" t="s">
        <v>27</v>
      </c>
      <c r="F49" s="1" t="s">
        <v>5</v>
      </c>
    </row>
    <row r="50" spans="2:6" x14ac:dyDescent="0.2">
      <c r="B50" s="6">
        <v>48</v>
      </c>
      <c r="C50" s="6" t="s">
        <v>103</v>
      </c>
      <c r="D50" s="6" t="s">
        <v>52</v>
      </c>
      <c r="E50" s="6" t="s">
        <v>27</v>
      </c>
      <c r="F50" s="1" t="s">
        <v>5</v>
      </c>
    </row>
    <row r="51" spans="2:6" x14ac:dyDescent="0.2">
      <c r="B51" s="6">
        <v>49</v>
      </c>
      <c r="C51" s="6" t="s">
        <v>104</v>
      </c>
      <c r="D51" s="6" t="s">
        <v>53</v>
      </c>
      <c r="E51" s="6" t="s">
        <v>58</v>
      </c>
      <c r="F51" s="1" t="s">
        <v>5</v>
      </c>
    </row>
    <row r="52" spans="2:6" x14ac:dyDescent="0.2">
      <c r="B52" s="6">
        <v>50</v>
      </c>
      <c r="C52" s="6" t="s">
        <v>105</v>
      </c>
      <c r="D52" s="6" t="s">
        <v>53</v>
      </c>
      <c r="E52" s="6" t="s">
        <v>58</v>
      </c>
      <c r="F52" s="1" t="s">
        <v>5</v>
      </c>
    </row>
    <row r="53" spans="2:6" x14ac:dyDescent="0.2">
      <c r="B53" s="6">
        <v>51</v>
      </c>
      <c r="C53" s="6" t="s">
        <v>106</v>
      </c>
      <c r="D53" s="6" t="s">
        <v>53</v>
      </c>
      <c r="E53" s="6" t="s">
        <v>58</v>
      </c>
      <c r="F53" s="1" t="s">
        <v>5</v>
      </c>
    </row>
    <row r="54" spans="2:6" x14ac:dyDescent="0.2">
      <c r="B54" s="6">
        <v>52</v>
      </c>
      <c r="C54" s="6" t="s">
        <v>107</v>
      </c>
      <c r="D54" s="6" t="s">
        <v>53</v>
      </c>
      <c r="E54" s="6" t="s">
        <v>58</v>
      </c>
      <c r="F54" s="1" t="s">
        <v>5</v>
      </c>
    </row>
    <row r="55" spans="2:6" x14ac:dyDescent="0.2">
      <c r="B55" s="6">
        <v>53</v>
      </c>
      <c r="C55" s="6" t="s">
        <v>108</v>
      </c>
      <c r="D55" s="6" t="s">
        <v>54</v>
      </c>
      <c r="E55" s="6" t="s">
        <v>58</v>
      </c>
      <c r="F55" s="1" t="s">
        <v>5</v>
      </c>
    </row>
    <row r="56" spans="2:6" x14ac:dyDescent="0.2">
      <c r="B56" s="6">
        <v>54</v>
      </c>
      <c r="C56" s="6" t="s">
        <v>109</v>
      </c>
      <c r="D56" s="6" t="s">
        <v>54</v>
      </c>
      <c r="E56" s="6" t="s">
        <v>58</v>
      </c>
      <c r="F56" s="1" t="s">
        <v>5</v>
      </c>
    </row>
    <row r="57" spans="2:6" x14ac:dyDescent="0.2">
      <c r="B57" s="6">
        <v>55</v>
      </c>
      <c r="C57" s="6" t="s">
        <v>110</v>
      </c>
      <c r="D57" s="6" t="s">
        <v>54</v>
      </c>
      <c r="E57" s="6" t="s">
        <v>58</v>
      </c>
      <c r="F57" s="1" t="s">
        <v>5</v>
      </c>
    </row>
    <row r="58" spans="2:6" x14ac:dyDescent="0.2">
      <c r="B58" s="6">
        <v>56</v>
      </c>
      <c r="C58" s="6" t="s">
        <v>111</v>
      </c>
      <c r="D58" s="6" t="s">
        <v>54</v>
      </c>
      <c r="E58" s="6" t="s">
        <v>58</v>
      </c>
      <c r="F58" s="1" t="s">
        <v>5</v>
      </c>
    </row>
    <row r="59" spans="2:6" x14ac:dyDescent="0.2">
      <c r="B59" s="6">
        <v>57</v>
      </c>
      <c r="C59" s="6" t="s">
        <v>112</v>
      </c>
      <c r="D59" s="6" t="s">
        <v>54</v>
      </c>
      <c r="E59" s="6" t="s">
        <v>58</v>
      </c>
      <c r="F59" s="1" t="s">
        <v>5</v>
      </c>
    </row>
    <row r="60" spans="2:6" x14ac:dyDescent="0.2">
      <c r="B60" s="6">
        <v>58</v>
      </c>
      <c r="C60" s="6" t="s">
        <v>113</v>
      </c>
      <c r="D60" s="6" t="s">
        <v>54</v>
      </c>
      <c r="E60" s="6" t="s">
        <v>58</v>
      </c>
      <c r="F60" s="1" t="s">
        <v>5</v>
      </c>
    </row>
    <row r="61" spans="2:6" x14ac:dyDescent="0.2">
      <c r="B61" s="6">
        <v>59</v>
      </c>
      <c r="C61" s="6" t="s">
        <v>114</v>
      </c>
      <c r="D61" s="6" t="s">
        <v>54</v>
      </c>
      <c r="E61" s="6" t="s">
        <v>58</v>
      </c>
      <c r="F61" s="1" t="s">
        <v>5</v>
      </c>
    </row>
    <row r="62" spans="2:6" x14ac:dyDescent="0.2">
      <c r="B62" s="6">
        <v>60</v>
      </c>
      <c r="C62" s="6" t="s">
        <v>115</v>
      </c>
      <c r="D62" s="6" t="s">
        <v>54</v>
      </c>
      <c r="E62" s="6" t="s">
        <v>58</v>
      </c>
      <c r="F62" s="1" t="s">
        <v>5</v>
      </c>
    </row>
    <row r="63" spans="2:6" x14ac:dyDescent="0.2">
      <c r="B63" s="6">
        <v>61</v>
      </c>
      <c r="C63" s="6" t="s">
        <v>116</v>
      </c>
      <c r="D63" s="6" t="s">
        <v>59</v>
      </c>
      <c r="E63" s="6" t="s">
        <v>59</v>
      </c>
      <c r="F63" s="1" t="s">
        <v>5</v>
      </c>
    </row>
    <row r="64" spans="2:6" x14ac:dyDescent="0.2">
      <c r="B64" s="6">
        <v>62</v>
      </c>
      <c r="C64" s="1" t="s">
        <v>140</v>
      </c>
      <c r="D64" s="1" t="s">
        <v>140</v>
      </c>
      <c r="E64" s="1" t="s">
        <v>140</v>
      </c>
      <c r="F64" s="1" t="s">
        <v>329</v>
      </c>
    </row>
    <row r="65" spans="2:6" x14ac:dyDescent="0.2">
      <c r="B65" s="1"/>
      <c r="C65" s="1" t="s">
        <v>143</v>
      </c>
      <c r="D65" s="1" t="s">
        <v>143</v>
      </c>
      <c r="E65" s="1" t="s">
        <v>143</v>
      </c>
      <c r="F65" s="1" t="s">
        <v>143</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2.様式第1号、第6～8号(標準型)</vt:lpstr>
      <vt:lpstr>リスト</vt:lpstr>
      <vt:lpstr>リスト2</vt:lpstr>
      <vt:lpstr>'1.基本データ(このシートは削除しないこと！)'!Print_Area</vt:lpstr>
      <vt:lpstr>'2.様式第1号、第6～8号(標準型)'!Print_Area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2024-04-14T23:38:07Z</cp:lastPrinted>
  <dcterms:created xsi:type="dcterms:W3CDTF">2018-06-11T09:00:18Z</dcterms:created>
  <dcterms:modified xsi:type="dcterms:W3CDTF">2024-04-15T08:05:05Z</dcterms:modified>
</cp:coreProperties>
</file>