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223663\Desktop\"/>
    </mc:Choice>
  </mc:AlternateContent>
  <xr:revisionPtr revIDLastSave="0" documentId="13_ncr:1_{EA555A4C-CFA5-40AB-86B8-3419F78015CB}" xr6:coauthVersionLast="47" xr6:coauthVersionMax="47" xr10:uidLastSave="{00000000-0000-0000-0000-000000000000}"/>
  <bookViews>
    <workbookView xWindow="28680" yWindow="-120" windowWidth="29040" windowHeight="15720" tabRatio="763" xr2:uid="{00000000-000D-0000-FFFF-FFFF00000000}"/>
  </bookViews>
  <sheets>
    <sheet name="1.基本データ(このシートは削除しないこと！)" sheetId="5" r:id="rId1"/>
    <sheet name="2.様式第1号、第11号-2(地域密着型)" sheetId="2" r:id="rId2"/>
    <sheet name="リスト" sheetId="8" r:id="rId3"/>
    <sheet name="リスト2" sheetId="9" r:id="rId4"/>
  </sheets>
  <definedNames>
    <definedName name="_xlnm.Print_Area" localSheetId="0">'1.基本データ(このシートは削除しないこと！)'!$B$1:$F$51</definedName>
    <definedName name="_xlnm.Print_Area" localSheetId="1">'2.様式第1号、第11号-2(地域密着型)'!$B$1:$S$101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2" l="1"/>
  <c r="AC67" i="2"/>
  <c r="AC66" i="2"/>
  <c r="W67" i="2"/>
  <c r="S1" i="2"/>
  <c r="H10" i="5" l="1"/>
  <c r="L17" i="2" s="1"/>
  <c r="AF99" i="2" l="1"/>
  <c r="AF100" i="2" s="1"/>
  <c r="V100" i="2"/>
  <c r="V60" i="2"/>
  <c r="V59" i="2"/>
  <c r="E60" i="2"/>
  <c r="H16" i="5"/>
  <c r="X79" i="2" s="1"/>
  <c r="AE60" i="2" l="1"/>
  <c r="AF60" i="2" s="1"/>
  <c r="AP60" i="2" s="1"/>
  <c r="F60" i="2" s="1"/>
  <c r="AH99" i="2"/>
  <c r="AG99" i="2"/>
  <c r="AI99" i="2"/>
  <c r="AF101" i="2"/>
  <c r="V79" i="2"/>
  <c r="V78" i="2" l="1"/>
  <c r="V77" i="2"/>
  <c r="S47" i="2" l="1"/>
  <c r="E78" i="2" l="1"/>
  <c r="AU93" i="2" l="1"/>
  <c r="AV93" i="2" l="1"/>
  <c r="AU101" i="2" l="1"/>
  <c r="AV101" i="2" s="1"/>
  <c r="AA78" i="2"/>
  <c r="AA77" i="2"/>
  <c r="V76" i="2"/>
  <c r="W55" i="2"/>
  <c r="AB78" i="2" l="1"/>
  <c r="W78" i="2"/>
  <c r="X78" i="2" s="1"/>
  <c r="W77" i="2"/>
  <c r="X77" i="2" s="1"/>
  <c r="AB77" i="2"/>
  <c r="AQ80" i="2" s="1"/>
  <c r="F78" i="2" s="1"/>
  <c r="E80" i="2" l="1"/>
  <c r="X83" i="2" l="1"/>
  <c r="AO82" i="2" l="1"/>
  <c r="AE86" i="2"/>
  <c r="Z82" i="2"/>
  <c r="AB85" i="2"/>
  <c r="AA85" i="2"/>
  <c r="AB84" i="2"/>
  <c r="AA84" i="2"/>
  <c r="AB83" i="2"/>
  <c r="AA83" i="2"/>
  <c r="AB82" i="2"/>
  <c r="AA82" i="2"/>
  <c r="AI56" i="2"/>
  <c r="AK56" i="2" s="1"/>
  <c r="AI55" i="2"/>
  <c r="AK55" i="2" s="1"/>
  <c r="H5" i="5"/>
  <c r="H11" i="5"/>
  <c r="H9" i="5"/>
  <c r="L16" i="2" s="1"/>
  <c r="H8" i="5"/>
  <c r="L14" i="2" s="1"/>
  <c r="H7" i="5"/>
  <c r="H6" i="5"/>
  <c r="L11" i="2" s="1"/>
  <c r="K11" i="2" l="1"/>
  <c r="L10" i="2"/>
  <c r="L13" i="2"/>
  <c r="E50" i="2"/>
  <c r="E76" i="2" s="1"/>
  <c r="AC82" i="2"/>
  <c r="AF97" i="2" l="1"/>
  <c r="AF98" i="2" s="1"/>
  <c r="AF95" i="2"/>
  <c r="AF96" i="2" s="1"/>
  <c r="AF92" i="2"/>
  <c r="AF91" i="2"/>
  <c r="AF90" i="2"/>
  <c r="AF94" i="2" l="1"/>
  <c r="AF93" i="2"/>
  <c r="H13" i="5"/>
  <c r="H17" i="5" l="1"/>
  <c r="AP100" i="2" l="1"/>
  <c r="AN99" i="2"/>
  <c r="AP101" i="2"/>
  <c r="AP99" i="2"/>
  <c r="AN101" i="2"/>
  <c r="AN100" i="2"/>
  <c r="X99" i="2"/>
  <c r="X101" i="2" l="1"/>
  <c r="X100" i="2"/>
  <c r="V63" i="2"/>
  <c r="W56" i="2" l="1"/>
  <c r="AC52" i="2"/>
  <c r="W62" i="2"/>
  <c r="V64" i="2"/>
  <c r="V62" i="2"/>
  <c r="Y62" i="2" l="1"/>
  <c r="AC54" i="2"/>
  <c r="AC53" i="2"/>
  <c r="S74" i="2" l="1"/>
  <c r="AC56" i="2" l="1"/>
  <c r="AE56" i="2" s="1"/>
  <c r="V56" i="2"/>
  <c r="AB95" i="2" l="1"/>
  <c r="AB96" i="2" s="1"/>
  <c r="Z95" i="2"/>
  <c r="Z96" i="2" s="1"/>
  <c r="Z97" i="2" l="1"/>
  <c r="Z98" i="2" s="1"/>
  <c r="Y97" i="2"/>
  <c r="Y98" i="2" s="1"/>
  <c r="X97" i="2"/>
  <c r="X98" i="2" s="1"/>
  <c r="V98" i="2"/>
  <c r="V97" i="2"/>
  <c r="V95" i="2" l="1"/>
  <c r="V94" i="2"/>
  <c r="V93" i="2"/>
  <c r="V92" i="2"/>
  <c r="V91" i="2"/>
  <c r="V90" i="2"/>
  <c r="V53" i="2"/>
  <c r="W92" i="2" l="1"/>
  <c r="V66" i="2"/>
  <c r="V68" i="2"/>
  <c r="V67" i="2"/>
  <c r="V61" i="2"/>
  <c r="V58" i="2"/>
  <c r="AP59" i="2"/>
  <c r="F59" i="2" s="1"/>
  <c r="V55" i="2"/>
  <c r="V52" i="2"/>
  <c r="E79" i="2"/>
  <c r="E59" i="2"/>
  <c r="Y55" i="2" l="1"/>
  <c r="AP56" i="2" l="1"/>
  <c r="F55" i="2" s="1"/>
  <c r="E58" i="2" l="1"/>
  <c r="AP58" i="2"/>
  <c r="F58" i="2" s="1"/>
  <c r="AF85" i="2" l="1"/>
  <c r="AF84" i="2"/>
  <c r="AF83" i="2"/>
  <c r="AF82" i="2"/>
  <c r="X85" i="2"/>
  <c r="X84" i="2"/>
  <c r="X95" i="2" l="1"/>
  <c r="X96" i="2" s="1"/>
  <c r="X92" i="2"/>
  <c r="X91" i="2"/>
  <c r="X90" i="2"/>
  <c r="AE62" i="2"/>
  <c r="AP62" i="2" s="1"/>
  <c r="F62" i="2" s="1"/>
  <c r="W52" i="2"/>
  <c r="X94" i="2" l="1"/>
  <c r="X93" i="2"/>
  <c r="AF79" i="2"/>
  <c r="AG79" i="2" s="1"/>
  <c r="W79" i="2"/>
  <c r="AF78" i="2" s="1"/>
  <c r="AG78" i="2" s="1"/>
  <c r="E21" i="5"/>
  <c r="E20" i="5"/>
  <c r="D21" i="5"/>
  <c r="D20" i="5"/>
  <c r="AF77" i="2" l="1"/>
  <c r="AG77" i="2" s="1"/>
  <c r="Y79" i="2"/>
  <c r="AQ81" i="2" l="1"/>
  <c r="F79" i="2" s="1"/>
  <c r="AP90" i="2"/>
  <c r="AP91" i="2"/>
  <c r="AP95" i="2"/>
  <c r="AP98" i="2"/>
  <c r="AP92" i="2"/>
  <c r="AP97" i="2"/>
  <c r="AP94" i="2"/>
  <c r="AP93" i="2"/>
  <c r="AP96" i="2"/>
  <c r="E52" i="2" l="1"/>
  <c r="E55" i="2"/>
  <c r="E62" i="2"/>
  <c r="E91" i="2"/>
  <c r="E90" i="2"/>
  <c r="E95" i="2"/>
  <c r="E97" i="2"/>
  <c r="AO94" i="2" l="1"/>
  <c r="AN94" i="2"/>
  <c r="V101" i="2"/>
  <c r="V99" i="2"/>
  <c r="AE95" i="2" l="1"/>
  <c r="AE96" i="2" s="1"/>
  <c r="AB97" i="2"/>
  <c r="AB99" i="2"/>
  <c r="AB92" i="2"/>
  <c r="AB91" i="2"/>
  <c r="AE91" i="2" s="1"/>
  <c r="AB90" i="2"/>
  <c r="AE90" i="2" s="1"/>
  <c r="Z99" i="2"/>
  <c r="Z100" i="2" s="1"/>
  <c r="Z92" i="2"/>
  <c r="Z91" i="2"/>
  <c r="Z90" i="2"/>
  <c r="Y99" i="2"/>
  <c r="Y100" i="2" s="1"/>
  <c r="Y95" i="2"/>
  <c r="Y96" i="2" s="1"/>
  <c r="Y92" i="2"/>
  <c r="Y91" i="2"/>
  <c r="Y90" i="2"/>
  <c r="V96" i="2"/>
  <c r="AE97" i="2" l="1"/>
  <c r="AE98" i="2" s="1"/>
  <c r="AB98" i="2"/>
  <c r="Z93" i="2"/>
  <c r="Z94" i="2"/>
  <c r="Y93" i="2"/>
  <c r="Y94" i="2"/>
  <c r="AE92" i="2"/>
  <c r="AB93" i="2"/>
  <c r="AB94" i="2"/>
  <c r="AE99" i="2"/>
  <c r="AE100" i="2" s="1"/>
  <c r="AB100" i="2"/>
  <c r="W95" i="2"/>
  <c r="Z101" i="2"/>
  <c r="AB101" i="2"/>
  <c r="Y101" i="2"/>
  <c r="AE82" i="2"/>
  <c r="AG82" i="2" s="1"/>
  <c r="AE93" i="2" l="1"/>
  <c r="AE94" i="2"/>
  <c r="W97" i="2"/>
  <c r="W99" i="2" s="1"/>
  <c r="AE101" i="2"/>
  <c r="W82" i="2" l="1"/>
  <c r="W81" i="2"/>
  <c r="Z83" i="2" s="1"/>
  <c r="AC83" i="2" s="1"/>
  <c r="W85" i="2"/>
  <c r="W84" i="2"/>
  <c r="AE83" i="2" s="1"/>
  <c r="Z85" i="2" l="1"/>
  <c r="AC85" i="2" s="1"/>
  <c r="Z84" i="2"/>
  <c r="AC84" i="2" s="1"/>
  <c r="AE54" i="2"/>
  <c r="AE53" i="2"/>
  <c r="AE52" i="2"/>
  <c r="W66" i="2"/>
  <c r="Y66" i="2" s="1"/>
  <c r="AP66" i="2" l="1"/>
  <c r="F66" i="2" s="1"/>
  <c r="AE66" i="2"/>
  <c r="AE67" i="2"/>
  <c r="AC81" i="2"/>
  <c r="AO87" i="2" s="1"/>
  <c r="Y52" i="2"/>
  <c r="AP52" i="2" s="1"/>
  <c r="AO86" i="2" l="1"/>
  <c r="AO85" i="2"/>
  <c r="W83" i="2"/>
  <c r="F52" i="2"/>
  <c r="AS81" i="2" l="1"/>
  <c r="Y87" i="2"/>
  <c r="B88" i="2" s="1"/>
  <c r="H15" i="5"/>
  <c r="H14" i="5"/>
  <c r="C20" i="2" s="1"/>
  <c r="F90" i="2" l="1"/>
  <c r="E49" i="2"/>
  <c r="E75" i="2" s="1"/>
  <c r="AA91" i="2"/>
  <c r="AA90" i="2"/>
  <c r="AA99" i="2"/>
  <c r="AA100" i="2" s="1"/>
  <c r="AA97" i="2"/>
  <c r="AA98" i="2" s="1"/>
  <c r="AA92" i="2"/>
  <c r="AA95" i="2"/>
  <c r="AA96" i="2" s="1"/>
  <c r="AC91" i="2"/>
  <c r="AC97" i="2"/>
  <c r="AC98" i="2" s="1"/>
  <c r="AC92" i="2"/>
  <c r="AC90" i="2"/>
  <c r="AC99" i="2"/>
  <c r="AC100" i="2" s="1"/>
  <c r="AC95" i="2"/>
  <c r="AC96" i="2" s="1"/>
  <c r="AE85" i="2"/>
  <c r="AG85" i="2" s="1"/>
  <c r="AE84" i="2"/>
  <c r="AG84" i="2" s="1"/>
  <c r="AA94" i="2" l="1"/>
  <c r="AA93" i="2"/>
  <c r="AC93" i="2"/>
  <c r="AC94" i="2"/>
  <c r="AD95" i="2"/>
  <c r="AD96" i="2" s="1"/>
  <c r="AC101" i="2"/>
  <c r="AA101" i="2"/>
  <c r="AD92" i="2"/>
  <c r="AD99" i="2"/>
  <c r="AD90" i="2"/>
  <c r="AK90" i="2" s="1"/>
  <c r="AD97" i="2"/>
  <c r="AD98" i="2" s="1"/>
  <c r="AD91" i="2"/>
  <c r="AD94" i="2" l="1"/>
  <c r="AD93" i="2"/>
  <c r="AD100" i="2"/>
  <c r="AK99" i="2"/>
  <c r="AL99" i="2"/>
  <c r="AM99" i="2"/>
  <c r="AO99" i="2" s="1"/>
  <c r="AK92" i="2"/>
  <c r="AL92" i="2"/>
  <c r="AK95" i="2"/>
  <c r="AL95" i="2"/>
  <c r="AK96" i="2"/>
  <c r="AL96" i="2"/>
  <c r="AK91" i="2"/>
  <c r="AL91" i="2"/>
  <c r="AL90" i="2"/>
  <c r="AN90" i="2" s="1"/>
  <c r="AK98" i="2"/>
  <c r="AL98" i="2"/>
  <c r="AK97" i="2"/>
  <c r="AL97" i="2"/>
  <c r="AM97" i="2"/>
  <c r="AM92" i="2"/>
  <c r="AM95" i="2"/>
  <c r="AM91" i="2"/>
  <c r="AM98" i="2"/>
  <c r="AM96" i="2"/>
  <c r="AO96" i="2" s="1"/>
  <c r="AM90" i="2"/>
  <c r="AD101" i="2"/>
  <c r="AL93" i="2" l="1"/>
  <c r="AK93" i="2"/>
  <c r="AN93" i="2" s="1"/>
  <c r="AM93" i="2"/>
  <c r="AO93" i="2" s="1"/>
  <c r="AM94" i="2"/>
  <c r="AK94" i="2"/>
  <c r="AL94" i="2"/>
  <c r="AO97" i="2"/>
  <c r="AO92" i="2"/>
  <c r="AL101" i="2"/>
  <c r="AK101" i="2"/>
  <c r="AM101" i="2"/>
  <c r="AO101" i="2" s="1"/>
  <c r="AL100" i="2"/>
  <c r="AK100" i="2"/>
  <c r="AM100" i="2"/>
  <c r="AO95" i="2"/>
  <c r="AO91" i="2"/>
  <c r="AO90" i="2"/>
  <c r="AO98" i="2"/>
  <c r="F95" i="2"/>
  <c r="AN98" i="2"/>
  <c r="AW81" i="2"/>
  <c r="AN95" i="2"/>
  <c r="AN92" i="2"/>
  <c r="AN97" i="2"/>
  <c r="AN96" i="2"/>
  <c r="AN91" i="2"/>
  <c r="AS82" i="2"/>
  <c r="AS84" i="2"/>
  <c r="AS83" i="2"/>
  <c r="AO100" i="2" l="1"/>
  <c r="AQ99" i="2" s="1"/>
  <c r="AQ91" i="2"/>
  <c r="F91" i="2" s="1"/>
  <c r="AQ97" i="2"/>
  <c r="F97" i="2" s="1"/>
  <c r="AS85" i="2"/>
  <c r="AS89" i="2" s="1"/>
  <c r="AQ95" i="2"/>
  <c r="AQ92" i="2"/>
  <c r="AS99" i="2" l="1"/>
  <c r="AT92" i="2"/>
  <c r="AS92" i="2"/>
  <c r="AT99" i="2"/>
  <c r="AR97" i="2"/>
  <c r="AR95" i="2"/>
  <c r="AR92" i="2"/>
  <c r="AR99" i="2"/>
  <c r="AU92" i="2" l="1"/>
  <c r="F92" i="2"/>
  <c r="AU99" i="2"/>
  <c r="F99" i="2" s="1"/>
  <c r="AG83" i="2"/>
  <c r="AW82" i="2" s="1"/>
  <c r="AW83" i="2" s="1"/>
  <c r="AQ90" i="2" s="1"/>
  <c r="AG81" i="2" l="1"/>
  <c r="W86" i="2" s="1"/>
  <c r="X86" i="2" l="1"/>
  <c r="AH81" i="2"/>
  <c r="W87" i="2" s="1"/>
  <c r="K86" i="2" s="1"/>
  <c r="AP86" i="2"/>
  <c r="AP87" i="2"/>
  <c r="AP85" i="2"/>
  <c r="AT81" i="2"/>
  <c r="AT84" i="2"/>
  <c r="AT83" i="2"/>
  <c r="AT82" i="2"/>
  <c r="X87" i="2" l="1"/>
  <c r="K87" i="2" s="1"/>
  <c r="AQ87" i="2"/>
  <c r="F80" i="2" s="1"/>
  <c r="V47" i="2" s="1"/>
  <c r="D23" i="5" s="1"/>
  <c r="AT85" i="2"/>
  <c r="AT86" i="2" l="1"/>
  <c r="AT87" i="2" s="1"/>
</calcChain>
</file>

<file path=xl/sharedStrings.xml><?xml version="1.0" encoding="utf-8"?>
<sst xmlns="http://schemas.openxmlformats.org/spreadsheetml/2006/main" count="698" uniqueCount="395">
  <si>
    <t>項　　　　目</t>
  </si>
  <si>
    <t>配置技術者</t>
  </si>
  <si>
    <t>項目</t>
    <phoneticPr fontId="18"/>
  </si>
  <si>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</si>
  <si>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</si>
  <si>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4"/>
  </si>
  <si>
    <t>県内</t>
    <rPh sb="0" eb="2">
      <t>ケンナイ</t>
    </rPh>
    <phoneticPr fontId="34"/>
  </si>
  <si>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</si>
  <si>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</si>
  <si>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</si>
  <si>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</si>
  <si>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</si>
  <si>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</si>
  <si>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</si>
  <si>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4"/>
  </si>
  <si>
    <t>（作成担当者</t>
    <phoneticPr fontId="34"/>
  </si>
  <si>
    <t>　福　島　県</t>
    <phoneticPr fontId="34"/>
  </si>
  <si>
    <t>工期</t>
    <rPh sb="0" eb="2">
      <t>コウキ</t>
    </rPh>
    <phoneticPr fontId="34"/>
  </si>
  <si>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4"/>
  </si>
  <si>
    <t>同一市町村内の工事実績</t>
    <rPh sb="0" eb="2">
      <t>ドウイツ</t>
    </rPh>
    <rPh sb="2" eb="5">
      <t>シチョウソン</t>
    </rPh>
    <rPh sb="5" eb="6">
      <t>ナイ</t>
    </rPh>
    <rPh sb="7" eb="9">
      <t>コウジ</t>
    </rPh>
    <rPh sb="9" eb="11">
      <t>ジッセキ</t>
    </rPh>
    <phoneticPr fontId="34"/>
  </si>
  <si>
    <t>入札参加者の所在建設</t>
    <rPh sb="0" eb="2">
      <t>ニュウサツ</t>
    </rPh>
    <rPh sb="2" eb="5">
      <t>サンカシャ</t>
    </rPh>
    <rPh sb="6" eb="8">
      <t>ショザイ</t>
    </rPh>
    <rPh sb="8" eb="10">
      <t>ケンセツ</t>
    </rPh>
    <phoneticPr fontId="34"/>
  </si>
  <si>
    <t>有無</t>
    <rPh sb="0" eb="2">
      <t>ウム</t>
    </rPh>
    <phoneticPr fontId="34"/>
  </si>
  <si>
    <t>5年以内</t>
    <rPh sb="1" eb="2">
      <t>ネン</t>
    </rPh>
    <rPh sb="2" eb="4">
      <t>イナイ</t>
    </rPh>
    <phoneticPr fontId="34"/>
  </si>
  <si>
    <t>喜多方市</t>
    <rPh sb="0" eb="3">
      <t>キタカタ</t>
    </rPh>
    <rPh sb="3" eb="4">
      <t>シ</t>
    </rPh>
    <phoneticPr fontId="34"/>
  </si>
  <si>
    <t>喜多方土木</t>
    <rPh sb="0" eb="3">
      <t>キタカタ</t>
    </rPh>
    <rPh sb="3" eb="5">
      <t>ドボク</t>
    </rPh>
    <phoneticPr fontId="34"/>
  </si>
  <si>
    <t>喜多方建設</t>
    <rPh sb="0" eb="3">
      <t>キタカタ</t>
    </rPh>
    <rPh sb="3" eb="5">
      <t>ケンセツ</t>
    </rPh>
    <phoneticPr fontId="34"/>
  </si>
  <si>
    <t>有</t>
    <rPh sb="0" eb="1">
      <t>ア</t>
    </rPh>
    <phoneticPr fontId="34"/>
  </si>
  <si>
    <t>準本店</t>
    <rPh sb="0" eb="1">
      <t>ジュン</t>
    </rPh>
    <rPh sb="1" eb="3">
      <t>ホンテン</t>
    </rPh>
    <phoneticPr fontId="34"/>
  </si>
  <si>
    <t>5～10年以内</t>
    <rPh sb="4" eb="5">
      <t>ネン</t>
    </rPh>
    <rPh sb="5" eb="7">
      <t>イナイ</t>
    </rPh>
    <phoneticPr fontId="34"/>
  </si>
  <si>
    <t>猪苗代土木</t>
    <rPh sb="0" eb="3">
      <t>イナワシロ</t>
    </rPh>
    <rPh sb="3" eb="5">
      <t>ドボク</t>
    </rPh>
    <phoneticPr fontId="34"/>
  </si>
  <si>
    <t>南会津建設</t>
    <rPh sb="0" eb="3">
      <t>ミナミアイヅ</t>
    </rPh>
    <rPh sb="3" eb="5">
      <t>ケンセツ</t>
    </rPh>
    <phoneticPr fontId="34"/>
  </si>
  <si>
    <t>10～15年以内</t>
    <rPh sb="5" eb="6">
      <t>ネン</t>
    </rPh>
    <rPh sb="6" eb="8">
      <t>イナイ</t>
    </rPh>
    <phoneticPr fontId="34"/>
  </si>
  <si>
    <t>西会津町</t>
    <rPh sb="0" eb="4">
      <t>ニシアイヅマチ</t>
    </rPh>
    <phoneticPr fontId="34"/>
  </si>
  <si>
    <t>-</t>
    <phoneticPr fontId="34"/>
  </si>
  <si>
    <t>猪苗代町</t>
    <rPh sb="0" eb="3">
      <t>イナワシロ</t>
    </rPh>
    <rPh sb="3" eb="4">
      <t>マチ</t>
    </rPh>
    <phoneticPr fontId="34"/>
  </si>
  <si>
    <t>磐梯町</t>
    <rPh sb="0" eb="2">
      <t>バンダイ</t>
    </rPh>
    <rPh sb="2" eb="3">
      <t>マチ</t>
    </rPh>
    <phoneticPr fontId="34"/>
  </si>
  <si>
    <t>地域要件</t>
    <rPh sb="0" eb="2">
      <t>チイキ</t>
    </rPh>
    <rPh sb="2" eb="4">
      <t>ヨウケン</t>
    </rPh>
    <phoneticPr fontId="34"/>
  </si>
  <si>
    <t>管内</t>
    <rPh sb="0" eb="2">
      <t>カンナイ</t>
    </rPh>
    <phoneticPr fontId="34"/>
  </si>
  <si>
    <t>隣接３管内</t>
    <rPh sb="0" eb="2">
      <t>リンセツ</t>
    </rPh>
    <rPh sb="3" eb="5">
      <t>カンナイ</t>
    </rPh>
    <phoneticPr fontId="34"/>
  </si>
  <si>
    <t>全国</t>
    <rPh sb="0" eb="2">
      <t>ゼンコク</t>
    </rPh>
    <phoneticPr fontId="34"/>
  </si>
  <si>
    <t>一般土木工事又は舗装工事"以外"</t>
  </si>
  <si>
    <t>一般土木工事又は舗装工事</t>
    <phoneticPr fontId="34"/>
  </si>
  <si>
    <t>発注種別</t>
    <rPh sb="0" eb="2">
      <t>ハッチュウ</t>
    </rPh>
    <rPh sb="2" eb="4">
      <t>シュベツ</t>
    </rPh>
    <phoneticPr fontId="34"/>
  </si>
  <si>
    <t>県北土木</t>
    <rPh sb="0" eb="2">
      <t>ケンポク</t>
    </rPh>
    <rPh sb="2" eb="4">
      <t>ドボク</t>
    </rPh>
    <phoneticPr fontId="34"/>
  </si>
  <si>
    <t>保原土木</t>
    <rPh sb="0" eb="2">
      <t>ホバラ</t>
    </rPh>
    <rPh sb="2" eb="4">
      <t>ドボク</t>
    </rPh>
    <phoneticPr fontId="34"/>
  </si>
  <si>
    <t>二本松土木</t>
    <rPh sb="0" eb="3">
      <t>ニホンマツ</t>
    </rPh>
    <rPh sb="3" eb="5">
      <t>ドボク</t>
    </rPh>
    <phoneticPr fontId="34"/>
  </si>
  <si>
    <t>県中建設</t>
    <rPh sb="0" eb="1">
      <t>ケン</t>
    </rPh>
    <rPh sb="1" eb="2">
      <t>チュウ</t>
    </rPh>
    <rPh sb="2" eb="4">
      <t>ケンセツ</t>
    </rPh>
    <phoneticPr fontId="34"/>
  </si>
  <si>
    <t>三春土木</t>
    <rPh sb="0" eb="2">
      <t>ミハル</t>
    </rPh>
    <rPh sb="2" eb="4">
      <t>ドボク</t>
    </rPh>
    <phoneticPr fontId="34"/>
  </si>
  <si>
    <t>須賀川土木</t>
    <rPh sb="0" eb="3">
      <t>スカガワ</t>
    </rPh>
    <rPh sb="3" eb="5">
      <t>ドボク</t>
    </rPh>
    <phoneticPr fontId="34"/>
  </si>
  <si>
    <t>石川土木</t>
    <rPh sb="0" eb="2">
      <t>イシカワ</t>
    </rPh>
    <rPh sb="2" eb="4">
      <t>ドボク</t>
    </rPh>
    <phoneticPr fontId="34"/>
  </si>
  <si>
    <t>県南土木</t>
    <rPh sb="0" eb="2">
      <t>ケンナン</t>
    </rPh>
    <rPh sb="2" eb="4">
      <t>ドボク</t>
    </rPh>
    <phoneticPr fontId="34"/>
  </si>
  <si>
    <t>県中土木</t>
    <rPh sb="0" eb="1">
      <t>ケン</t>
    </rPh>
    <rPh sb="1" eb="2">
      <t>チュウ</t>
    </rPh>
    <rPh sb="2" eb="4">
      <t>ドボク</t>
    </rPh>
    <phoneticPr fontId="34"/>
  </si>
  <si>
    <t>棚倉土木</t>
    <rPh sb="0" eb="2">
      <t>タナグラ</t>
    </rPh>
    <rPh sb="2" eb="4">
      <t>ドボク</t>
    </rPh>
    <phoneticPr fontId="34"/>
  </si>
  <si>
    <t>会津若松土木</t>
    <rPh sb="0" eb="2">
      <t>アイヅ</t>
    </rPh>
    <rPh sb="2" eb="4">
      <t>ワカマツ</t>
    </rPh>
    <rPh sb="4" eb="6">
      <t>ドボク</t>
    </rPh>
    <phoneticPr fontId="34"/>
  </si>
  <si>
    <t>宮下土木</t>
    <rPh sb="0" eb="2">
      <t>ミヤシタ</t>
    </rPh>
    <rPh sb="2" eb="4">
      <t>ドボク</t>
    </rPh>
    <phoneticPr fontId="34"/>
  </si>
  <si>
    <t>南会津土木</t>
    <rPh sb="0" eb="3">
      <t>ミナミアイヅ</t>
    </rPh>
    <rPh sb="3" eb="5">
      <t>ドボク</t>
    </rPh>
    <phoneticPr fontId="34"/>
  </si>
  <si>
    <t>山口土木</t>
    <rPh sb="0" eb="2">
      <t>ヤマグチ</t>
    </rPh>
    <rPh sb="2" eb="4">
      <t>ドボク</t>
    </rPh>
    <phoneticPr fontId="34"/>
  </si>
  <si>
    <t>相双土木</t>
    <rPh sb="0" eb="2">
      <t>ソウソウ</t>
    </rPh>
    <rPh sb="2" eb="4">
      <t>ドボク</t>
    </rPh>
    <phoneticPr fontId="34"/>
  </si>
  <si>
    <t>富岡土木</t>
    <rPh sb="0" eb="2">
      <t>トミオカ</t>
    </rPh>
    <rPh sb="2" eb="4">
      <t>ドボク</t>
    </rPh>
    <phoneticPr fontId="34"/>
  </si>
  <si>
    <t>県北建設</t>
    <rPh sb="0" eb="2">
      <t>ケンポク</t>
    </rPh>
    <rPh sb="2" eb="4">
      <t>ケンセツ</t>
    </rPh>
    <phoneticPr fontId="34"/>
  </si>
  <si>
    <t>県南建設</t>
    <rPh sb="0" eb="2">
      <t>ケンナン</t>
    </rPh>
    <rPh sb="2" eb="4">
      <t>ケンセツ</t>
    </rPh>
    <phoneticPr fontId="34"/>
  </si>
  <si>
    <t>会津若松建設</t>
    <rPh sb="0" eb="2">
      <t>アイヅ</t>
    </rPh>
    <rPh sb="2" eb="4">
      <t>ワカマツ</t>
    </rPh>
    <rPh sb="4" eb="6">
      <t>ケンセツ</t>
    </rPh>
    <phoneticPr fontId="34"/>
  </si>
  <si>
    <t>相双建設</t>
    <rPh sb="0" eb="2">
      <t>ソウソウ</t>
    </rPh>
    <rPh sb="2" eb="4">
      <t>ケンセツ</t>
    </rPh>
    <phoneticPr fontId="34"/>
  </si>
  <si>
    <t>いわき建設</t>
    <rPh sb="3" eb="5">
      <t>ケンセツ</t>
    </rPh>
    <phoneticPr fontId="34"/>
  </si>
  <si>
    <t>福島市</t>
    <rPh sb="0" eb="3">
      <t>フクシマシ</t>
    </rPh>
    <phoneticPr fontId="34"/>
  </si>
  <si>
    <t>川俣町</t>
    <rPh sb="0" eb="3">
      <t>カワマタマチ</t>
    </rPh>
    <phoneticPr fontId="34"/>
  </si>
  <si>
    <t>伊達市</t>
    <rPh sb="0" eb="3">
      <t>ダテシ</t>
    </rPh>
    <phoneticPr fontId="34"/>
  </si>
  <si>
    <t>桑折町</t>
    <rPh sb="0" eb="3">
      <t>コオリマチ</t>
    </rPh>
    <phoneticPr fontId="34"/>
  </si>
  <si>
    <t>国見町</t>
    <rPh sb="0" eb="3">
      <t>クニミマチ</t>
    </rPh>
    <phoneticPr fontId="34"/>
  </si>
  <si>
    <t>二本松市</t>
    <rPh sb="0" eb="4">
      <t>ニホンマツシ</t>
    </rPh>
    <phoneticPr fontId="34"/>
  </si>
  <si>
    <t>本宮市</t>
    <rPh sb="0" eb="3">
      <t>モトミヤシ</t>
    </rPh>
    <phoneticPr fontId="34"/>
  </si>
  <si>
    <t>大玉村</t>
    <rPh sb="0" eb="3">
      <t>オオタマムラ</t>
    </rPh>
    <phoneticPr fontId="34"/>
  </si>
  <si>
    <t>郡山市</t>
    <rPh sb="0" eb="3">
      <t>コオリヤマシ</t>
    </rPh>
    <phoneticPr fontId="34"/>
  </si>
  <si>
    <t>田村市</t>
    <rPh sb="0" eb="3">
      <t>タムラシ</t>
    </rPh>
    <phoneticPr fontId="34"/>
  </si>
  <si>
    <t>三春町</t>
    <rPh sb="0" eb="2">
      <t>ミハル</t>
    </rPh>
    <rPh sb="2" eb="3">
      <t>マチ</t>
    </rPh>
    <phoneticPr fontId="34"/>
  </si>
  <si>
    <t>小野町</t>
    <rPh sb="0" eb="3">
      <t>オノマチ</t>
    </rPh>
    <phoneticPr fontId="34"/>
  </si>
  <si>
    <t>須賀川市</t>
    <rPh sb="0" eb="4">
      <t>スカガワシ</t>
    </rPh>
    <phoneticPr fontId="34"/>
  </si>
  <si>
    <t>鏡石町</t>
    <rPh sb="0" eb="3">
      <t>カガミイシマチ</t>
    </rPh>
    <phoneticPr fontId="34"/>
  </si>
  <si>
    <t>天栄村</t>
    <rPh sb="0" eb="2">
      <t>テンエイ</t>
    </rPh>
    <rPh sb="2" eb="3">
      <t>ムラ</t>
    </rPh>
    <phoneticPr fontId="34"/>
  </si>
  <si>
    <t>石川町</t>
    <rPh sb="0" eb="3">
      <t>イシカワマチ</t>
    </rPh>
    <phoneticPr fontId="34"/>
  </si>
  <si>
    <t>玉川村</t>
    <rPh sb="0" eb="2">
      <t>タマガワ</t>
    </rPh>
    <rPh sb="2" eb="3">
      <t>ムラ</t>
    </rPh>
    <phoneticPr fontId="34"/>
  </si>
  <si>
    <t>平田村</t>
    <rPh sb="0" eb="3">
      <t>ヒラタムラ</t>
    </rPh>
    <phoneticPr fontId="34"/>
  </si>
  <si>
    <t>浅川町</t>
    <rPh sb="0" eb="3">
      <t>アサカワマチ</t>
    </rPh>
    <phoneticPr fontId="34"/>
  </si>
  <si>
    <t>古殿町</t>
    <rPh sb="0" eb="3">
      <t>フルドノマチ</t>
    </rPh>
    <phoneticPr fontId="34"/>
  </si>
  <si>
    <t>白河市</t>
    <rPh sb="0" eb="3">
      <t>シラカワシ</t>
    </rPh>
    <phoneticPr fontId="34"/>
  </si>
  <si>
    <t>西郷村</t>
    <rPh sb="0" eb="3">
      <t>ニシゴウムラ</t>
    </rPh>
    <phoneticPr fontId="34"/>
  </si>
  <si>
    <t>泉崎村</t>
    <rPh sb="0" eb="2">
      <t>イズミザキ</t>
    </rPh>
    <rPh sb="2" eb="3">
      <t>ムラ</t>
    </rPh>
    <phoneticPr fontId="34"/>
  </si>
  <si>
    <t>中島村</t>
    <rPh sb="0" eb="3">
      <t>ナカジマムラ</t>
    </rPh>
    <phoneticPr fontId="34"/>
  </si>
  <si>
    <t>矢吹町</t>
    <rPh sb="0" eb="3">
      <t>ヤブキマチ</t>
    </rPh>
    <phoneticPr fontId="34"/>
  </si>
  <si>
    <t>棚倉町</t>
    <rPh sb="0" eb="3">
      <t>タナグラマチ</t>
    </rPh>
    <phoneticPr fontId="34"/>
  </si>
  <si>
    <t>矢祭町</t>
    <rPh sb="0" eb="3">
      <t>ヤマツリマチ</t>
    </rPh>
    <phoneticPr fontId="34"/>
  </si>
  <si>
    <t>塙町</t>
    <rPh sb="0" eb="2">
      <t>ハナワマチ</t>
    </rPh>
    <phoneticPr fontId="34"/>
  </si>
  <si>
    <t>鮫川村</t>
    <rPh sb="0" eb="2">
      <t>サメガワ</t>
    </rPh>
    <rPh sb="2" eb="3">
      <t>ムラ</t>
    </rPh>
    <phoneticPr fontId="34"/>
  </si>
  <si>
    <t>会津若松市</t>
    <rPh sb="0" eb="2">
      <t>アイヅ</t>
    </rPh>
    <rPh sb="2" eb="4">
      <t>ワカマツ</t>
    </rPh>
    <rPh sb="4" eb="5">
      <t>シ</t>
    </rPh>
    <phoneticPr fontId="34"/>
  </si>
  <si>
    <t>会津坂下町</t>
    <rPh sb="0" eb="2">
      <t>アイヅ</t>
    </rPh>
    <rPh sb="2" eb="4">
      <t>サカシタ</t>
    </rPh>
    <rPh sb="4" eb="5">
      <t>マチ</t>
    </rPh>
    <phoneticPr fontId="34"/>
  </si>
  <si>
    <t>湯川村</t>
    <rPh sb="0" eb="2">
      <t>ユガワ</t>
    </rPh>
    <rPh sb="2" eb="3">
      <t>ムラ</t>
    </rPh>
    <phoneticPr fontId="34"/>
  </si>
  <si>
    <t>会津美里町</t>
    <rPh sb="0" eb="2">
      <t>アイヅ</t>
    </rPh>
    <rPh sb="2" eb="5">
      <t>ミサトマチ</t>
    </rPh>
    <phoneticPr fontId="34"/>
  </si>
  <si>
    <t>柳津町</t>
    <rPh sb="0" eb="3">
      <t>ヤナイヅマチ</t>
    </rPh>
    <phoneticPr fontId="34"/>
  </si>
  <si>
    <t>三島町</t>
    <rPh sb="0" eb="3">
      <t>ミシママチ</t>
    </rPh>
    <phoneticPr fontId="34"/>
  </si>
  <si>
    <t>金山町</t>
    <rPh sb="0" eb="3">
      <t>カネヤママチ</t>
    </rPh>
    <phoneticPr fontId="34"/>
  </si>
  <si>
    <t>昭和村</t>
    <rPh sb="0" eb="2">
      <t>ショウワ</t>
    </rPh>
    <rPh sb="2" eb="3">
      <t>ムラ</t>
    </rPh>
    <phoneticPr fontId="34"/>
  </si>
  <si>
    <t>下郷町</t>
    <rPh sb="0" eb="3">
      <t>シモゴウマチ</t>
    </rPh>
    <phoneticPr fontId="34"/>
  </si>
  <si>
    <t>檜枝岐村</t>
    <rPh sb="0" eb="3">
      <t>ヒノエマタ</t>
    </rPh>
    <rPh sb="3" eb="4">
      <t>ムラ</t>
    </rPh>
    <phoneticPr fontId="34"/>
  </si>
  <si>
    <t>南会津町（東部）</t>
    <rPh sb="0" eb="3">
      <t>ミナミアイヅ</t>
    </rPh>
    <rPh sb="3" eb="4">
      <t>マチ</t>
    </rPh>
    <rPh sb="5" eb="7">
      <t>トウブ</t>
    </rPh>
    <phoneticPr fontId="34"/>
  </si>
  <si>
    <t>南会津町（西部）</t>
    <rPh sb="0" eb="3">
      <t>ミナミアイヅ</t>
    </rPh>
    <rPh sb="3" eb="4">
      <t>マチ</t>
    </rPh>
    <rPh sb="5" eb="7">
      <t>セイブ</t>
    </rPh>
    <phoneticPr fontId="34"/>
  </si>
  <si>
    <t>北塩原村(喜多方建設管内)</t>
    <rPh sb="0" eb="1">
      <t>キタ</t>
    </rPh>
    <rPh sb="1" eb="3">
      <t>シオバラ</t>
    </rPh>
    <rPh sb="3" eb="4">
      <t>ムラ</t>
    </rPh>
    <rPh sb="5" eb="8">
      <t>キタカタ</t>
    </rPh>
    <rPh sb="8" eb="10">
      <t>ケンセツ</t>
    </rPh>
    <rPh sb="10" eb="12">
      <t>カンナイ</t>
    </rPh>
    <phoneticPr fontId="34"/>
  </si>
  <si>
    <t>北塩原村(猪苗代土木管内)</t>
    <rPh sb="0" eb="1">
      <t>キタ</t>
    </rPh>
    <rPh sb="1" eb="3">
      <t>シオバラ</t>
    </rPh>
    <rPh sb="3" eb="4">
      <t>ムラ</t>
    </rPh>
    <rPh sb="5" eb="8">
      <t>イナワシロ</t>
    </rPh>
    <rPh sb="8" eb="10">
      <t>ドボク</t>
    </rPh>
    <rPh sb="10" eb="12">
      <t>カンナイ</t>
    </rPh>
    <phoneticPr fontId="34"/>
  </si>
  <si>
    <t>只見町</t>
    <rPh sb="0" eb="3">
      <t>タダミマチ</t>
    </rPh>
    <phoneticPr fontId="34"/>
  </si>
  <si>
    <t>相馬市</t>
    <rPh sb="0" eb="3">
      <t>ソウマシ</t>
    </rPh>
    <phoneticPr fontId="34"/>
  </si>
  <si>
    <t>南相馬市</t>
    <rPh sb="0" eb="4">
      <t>ミナミソウマシ</t>
    </rPh>
    <phoneticPr fontId="34"/>
  </si>
  <si>
    <t>新地町</t>
    <rPh sb="0" eb="2">
      <t>シンチ</t>
    </rPh>
    <rPh sb="2" eb="3">
      <t>マチ</t>
    </rPh>
    <phoneticPr fontId="34"/>
  </si>
  <si>
    <t>飯舘村</t>
    <rPh sb="0" eb="3">
      <t>イイタテムラ</t>
    </rPh>
    <phoneticPr fontId="34"/>
  </si>
  <si>
    <t>広野町</t>
    <rPh sb="0" eb="3">
      <t>ヒロノマチ</t>
    </rPh>
    <phoneticPr fontId="34"/>
  </si>
  <si>
    <t>楢葉町</t>
    <rPh sb="0" eb="3">
      <t>ナラハマチ</t>
    </rPh>
    <phoneticPr fontId="34"/>
  </si>
  <si>
    <t>富岡町</t>
    <rPh sb="0" eb="3">
      <t>トミオカマチ</t>
    </rPh>
    <phoneticPr fontId="34"/>
  </si>
  <si>
    <t>川内村</t>
    <rPh sb="0" eb="3">
      <t>カワウチムラ</t>
    </rPh>
    <phoneticPr fontId="34"/>
  </si>
  <si>
    <t>大熊町</t>
    <rPh sb="0" eb="3">
      <t>オオクママチ</t>
    </rPh>
    <phoneticPr fontId="34"/>
  </si>
  <si>
    <t>双葉町</t>
    <rPh sb="0" eb="3">
      <t>フタバマチ</t>
    </rPh>
    <phoneticPr fontId="34"/>
  </si>
  <si>
    <t>浪江町</t>
    <rPh sb="0" eb="3">
      <t>ナミエマチ</t>
    </rPh>
    <phoneticPr fontId="34"/>
  </si>
  <si>
    <t>葛尾村</t>
    <rPh sb="0" eb="3">
      <t>カツラオムラ</t>
    </rPh>
    <phoneticPr fontId="34"/>
  </si>
  <si>
    <t>いわき市</t>
    <rPh sb="3" eb="4">
      <t>シ</t>
    </rPh>
    <phoneticPr fontId="34"/>
  </si>
  <si>
    <t>市町村</t>
    <rPh sb="0" eb="3">
      <t>シチョウソン</t>
    </rPh>
    <phoneticPr fontId="34"/>
  </si>
  <si>
    <t>建設事務所</t>
    <rPh sb="0" eb="2">
      <t>ケンセツ</t>
    </rPh>
    <rPh sb="2" eb="5">
      <t>ジムショ</t>
    </rPh>
    <phoneticPr fontId="34"/>
  </si>
  <si>
    <t>市町村①</t>
    <rPh sb="0" eb="3">
      <t>シチョウソン</t>
    </rPh>
    <phoneticPr fontId="34"/>
  </si>
  <si>
    <t>発注種別</t>
    <rPh sb="0" eb="2">
      <t>ハッチュウ</t>
    </rPh>
    <rPh sb="2" eb="4">
      <t>シュベツ</t>
    </rPh>
    <phoneticPr fontId="34"/>
  </si>
  <si>
    <t>一般土木工事</t>
    <rPh sb="0" eb="2">
      <t>イッパン</t>
    </rPh>
    <rPh sb="2" eb="4">
      <t>ドボク</t>
    </rPh>
    <rPh sb="4" eb="6">
      <t>コウジ</t>
    </rPh>
    <phoneticPr fontId="34"/>
  </si>
  <si>
    <t>舗装工事</t>
    <rPh sb="0" eb="2">
      <t>ホソウ</t>
    </rPh>
    <rPh sb="2" eb="4">
      <t>コウジ</t>
    </rPh>
    <phoneticPr fontId="34"/>
  </si>
  <si>
    <t>加算点合計</t>
    <rPh sb="0" eb="2">
      <t>カサン</t>
    </rPh>
    <rPh sb="2" eb="3">
      <t>テン</t>
    </rPh>
    <rPh sb="3" eb="5">
      <t>ゴウケイ</t>
    </rPh>
    <phoneticPr fontId="34"/>
  </si>
  <si>
    <t>点</t>
    <rPh sb="0" eb="1">
      <t>テン</t>
    </rPh>
    <phoneticPr fontId="34"/>
  </si>
  <si>
    <t>市町村②</t>
    <rPh sb="0" eb="3">
      <t>シチョウソン</t>
    </rPh>
    <phoneticPr fontId="34"/>
  </si>
  <si>
    <t>自動表示。（入力不要）</t>
    <rPh sb="0" eb="2">
      <t>ジドウ</t>
    </rPh>
    <rPh sb="2" eb="4">
      <t>ヒョウジ</t>
    </rPh>
    <rPh sb="6" eb="8">
      <t>ニュウリョク</t>
    </rPh>
    <rPh sb="8" eb="10">
      <t>フヨウ</t>
    </rPh>
    <phoneticPr fontId="34"/>
  </si>
  <si>
    <t>工事箇所の所在する土木事務所</t>
    <rPh sb="0" eb="2">
      <t>コウジ</t>
    </rPh>
    <rPh sb="2" eb="4">
      <t>カショ</t>
    </rPh>
    <rPh sb="5" eb="7">
      <t>ショザイ</t>
    </rPh>
    <rPh sb="9" eb="11">
      <t>ドボク</t>
    </rPh>
    <rPh sb="11" eb="13">
      <t>ジム</t>
    </rPh>
    <rPh sb="13" eb="14">
      <t>ショ</t>
    </rPh>
    <phoneticPr fontId="34"/>
  </si>
  <si>
    <t>工事箇所の所在する建設事務所</t>
    <rPh sb="0" eb="2">
      <t>コウジ</t>
    </rPh>
    <rPh sb="2" eb="4">
      <t>カショ</t>
    </rPh>
    <rPh sb="5" eb="7">
      <t>ショザイ</t>
    </rPh>
    <rPh sb="9" eb="11">
      <t>ケンセツ</t>
    </rPh>
    <rPh sb="11" eb="13">
      <t>ジム</t>
    </rPh>
    <rPh sb="13" eb="14">
      <t>ショ</t>
    </rPh>
    <phoneticPr fontId="34"/>
  </si>
  <si>
    <t>工事番号</t>
    <rPh sb="0" eb="2">
      <t>コウジ</t>
    </rPh>
    <rPh sb="2" eb="4">
      <t>バンゴウ</t>
    </rPh>
    <phoneticPr fontId="34"/>
  </si>
  <si>
    <t>工事名</t>
    <rPh sb="0" eb="3">
      <t>コウジメイ</t>
    </rPh>
    <phoneticPr fontId="34"/>
  </si>
  <si>
    <t>公告日</t>
    <rPh sb="0" eb="3">
      <t>コウコクビ</t>
    </rPh>
    <phoneticPr fontId="34"/>
  </si>
  <si>
    <t>備　考</t>
    <rPh sb="0" eb="1">
      <t>ソナエ</t>
    </rPh>
    <rPh sb="2" eb="3">
      <t>コウ</t>
    </rPh>
    <phoneticPr fontId="34"/>
  </si>
  <si>
    <t>企業の工事成績</t>
    <rPh sb="0" eb="2">
      <t>キギョウ</t>
    </rPh>
    <rPh sb="3" eb="5">
      <t>コウジ</t>
    </rPh>
    <rPh sb="5" eb="7">
      <t>セイセキ</t>
    </rPh>
    <phoneticPr fontId="34"/>
  </si>
  <si>
    <t>75点以上80点未満</t>
    <rPh sb="2" eb="3">
      <t>テン</t>
    </rPh>
    <rPh sb="3" eb="5">
      <t>イジョウ</t>
    </rPh>
    <rPh sb="7" eb="8">
      <t>テン</t>
    </rPh>
    <rPh sb="8" eb="10">
      <t>ミマン</t>
    </rPh>
    <phoneticPr fontId="34"/>
  </si>
  <si>
    <t>・（別記２）総合評価点評価基準の※３の発注種別を入力する。</t>
    <rPh sb="19" eb="21">
      <t>ハッチュウ</t>
    </rPh>
    <rPh sb="21" eb="23">
      <t>シュベツ</t>
    </rPh>
    <phoneticPr fontId="34"/>
  </si>
  <si>
    <t>1：記入あり</t>
    <rPh sb="2" eb="4">
      <t>キニュウ</t>
    </rPh>
    <phoneticPr fontId="34"/>
  </si>
  <si>
    <t>配置技術者の工事成績</t>
    <rPh sb="0" eb="2">
      <t>ハイチ</t>
    </rPh>
    <rPh sb="2" eb="5">
      <t>ギジュツシャ</t>
    </rPh>
    <rPh sb="6" eb="8">
      <t>コウジ</t>
    </rPh>
    <rPh sb="8" eb="10">
      <t>セイセキ</t>
    </rPh>
    <phoneticPr fontId="34"/>
  </si>
  <si>
    <t>発注者</t>
    <rPh sb="0" eb="3">
      <t>ハッチュウシャ</t>
    </rPh>
    <phoneticPr fontId="34"/>
  </si>
  <si>
    <t>工事番号・工事名：</t>
    <phoneticPr fontId="34"/>
  </si>
  <si>
    <t>会社名：</t>
    <phoneticPr fontId="34"/>
  </si>
  <si>
    <t>土木事務所
（19区分）</t>
    <rPh sb="0" eb="2">
      <t>ドボク</t>
    </rPh>
    <rPh sb="2" eb="5">
      <t>ジムショ</t>
    </rPh>
    <rPh sb="9" eb="11">
      <t>クブン</t>
    </rPh>
    <phoneticPr fontId="34"/>
  </si>
  <si>
    <t>No.</t>
    <phoneticPr fontId="34"/>
  </si>
  <si>
    <t>県外</t>
    <rPh sb="0" eb="2">
      <t>ケンガイ</t>
    </rPh>
    <phoneticPr fontId="34"/>
  </si>
  <si>
    <t>同一市町村</t>
    <rPh sb="0" eb="2">
      <t>ドウイツ</t>
    </rPh>
    <rPh sb="2" eb="5">
      <t>シチョウソン</t>
    </rPh>
    <phoneticPr fontId="34"/>
  </si>
  <si>
    <t>同一土木</t>
    <rPh sb="0" eb="2">
      <t>ドウイツ</t>
    </rPh>
    <rPh sb="2" eb="4">
      <t>ドボク</t>
    </rPh>
    <phoneticPr fontId="34"/>
  </si>
  <si>
    <t>同一建設</t>
    <rPh sb="0" eb="2">
      <t>ドウイツ</t>
    </rPh>
    <rPh sb="2" eb="4">
      <t>ケンセツ</t>
    </rPh>
    <phoneticPr fontId="34"/>
  </si>
  <si>
    <t>得点</t>
    <rPh sb="0" eb="2">
      <t>トクテン</t>
    </rPh>
    <phoneticPr fontId="34"/>
  </si>
  <si>
    <t>委任なし支店</t>
    <rPh sb="0" eb="2">
      <t>イニン</t>
    </rPh>
    <rPh sb="4" eb="6">
      <t>シテン</t>
    </rPh>
    <phoneticPr fontId="34"/>
  </si>
  <si>
    <t>点数あり：該当</t>
    <rPh sb="0" eb="2">
      <t>テンスウ</t>
    </rPh>
    <rPh sb="5" eb="7">
      <t>ガイトウ</t>
    </rPh>
    <phoneticPr fontId="34"/>
  </si>
  <si>
    <t>入札参加者</t>
    <rPh sb="0" eb="2">
      <t>ニュウサツ</t>
    </rPh>
    <rPh sb="2" eb="5">
      <t>サンカシャ</t>
    </rPh>
    <phoneticPr fontId="34"/>
  </si>
  <si>
    <t>県内</t>
    <rPh sb="0" eb="2">
      <t>ケンナイ</t>
    </rPh>
    <phoneticPr fontId="34"/>
  </si>
  <si>
    <t>市町村</t>
    <rPh sb="0" eb="3">
      <t>シチョウソン</t>
    </rPh>
    <phoneticPr fontId="34"/>
  </si>
  <si>
    <t>土木</t>
    <rPh sb="0" eb="2">
      <t>ドボク</t>
    </rPh>
    <phoneticPr fontId="34"/>
  </si>
  <si>
    <t>建設</t>
    <rPh sb="0" eb="2">
      <t>ケンセツ</t>
    </rPh>
    <phoneticPr fontId="34"/>
  </si>
  <si>
    <t>1:同一市町村内</t>
    <rPh sb="2" eb="4">
      <t>ドウイツ</t>
    </rPh>
    <rPh sb="4" eb="7">
      <t>シチョウソン</t>
    </rPh>
    <rPh sb="7" eb="8">
      <t>ナイ</t>
    </rPh>
    <phoneticPr fontId="34"/>
  </si>
  <si>
    <t>1:同一
土木管内</t>
    <rPh sb="2" eb="4">
      <t>ドウイツ</t>
    </rPh>
    <rPh sb="5" eb="7">
      <t>ドボク</t>
    </rPh>
    <rPh sb="7" eb="9">
      <t>カンナイ</t>
    </rPh>
    <phoneticPr fontId="34"/>
  </si>
  <si>
    <t>左記の
土木管内</t>
    <rPh sb="0" eb="2">
      <t>サキ</t>
    </rPh>
    <rPh sb="4" eb="6">
      <t>ドボク</t>
    </rPh>
    <rPh sb="6" eb="8">
      <t>カンナイ</t>
    </rPh>
    <phoneticPr fontId="34"/>
  </si>
  <si>
    <t>左記の
建設管内</t>
    <rPh sb="0" eb="2">
      <t>サキ</t>
    </rPh>
    <rPh sb="4" eb="6">
      <t>ケンセツ</t>
    </rPh>
    <rPh sb="6" eb="8">
      <t>カンナイ</t>
    </rPh>
    <phoneticPr fontId="34"/>
  </si>
  <si>
    <t>1:同一
建設管内</t>
    <rPh sb="2" eb="4">
      <t>ドウイツ</t>
    </rPh>
    <rPh sb="5" eb="7">
      <t>ケンセツ</t>
    </rPh>
    <rPh sb="7" eb="9">
      <t>カンナイ</t>
    </rPh>
    <phoneticPr fontId="34"/>
  </si>
  <si>
    <t>3:同一市町村
2:同一土木
1:同一建設</t>
    <rPh sb="2" eb="4">
      <t>ドウイツ</t>
    </rPh>
    <rPh sb="4" eb="7">
      <t>シチョウソン</t>
    </rPh>
    <rPh sb="10" eb="12">
      <t>ドウイツ</t>
    </rPh>
    <rPh sb="12" eb="14">
      <t>ドボク</t>
    </rPh>
    <rPh sb="17" eb="19">
      <t>ドウイツ</t>
    </rPh>
    <rPh sb="19" eb="21">
      <t>ケンセツ</t>
    </rPh>
    <phoneticPr fontId="34"/>
  </si>
  <si>
    <t>1：実績有</t>
    <rPh sb="2" eb="4">
      <t>ジッセキ</t>
    </rPh>
    <rPh sb="4" eb="5">
      <t>ア</t>
    </rPh>
    <phoneticPr fontId="34"/>
  </si>
  <si>
    <t>配点
（同一市町村）</t>
    <rPh sb="0" eb="2">
      <t>ハイテン</t>
    </rPh>
    <rPh sb="4" eb="6">
      <t>ドウイツ</t>
    </rPh>
    <rPh sb="6" eb="9">
      <t>シチョウソン</t>
    </rPh>
    <phoneticPr fontId="34"/>
  </si>
  <si>
    <t>配点
（同一土木）</t>
    <rPh sb="0" eb="2">
      <t>ハイテン</t>
    </rPh>
    <rPh sb="4" eb="6">
      <t>ドウイツ</t>
    </rPh>
    <rPh sb="6" eb="8">
      <t>ドボク</t>
    </rPh>
    <phoneticPr fontId="34"/>
  </si>
  <si>
    <t>配点</t>
    <rPh sb="0" eb="2">
      <t>ハイテン</t>
    </rPh>
    <phoneticPr fontId="34"/>
  </si>
  <si>
    <t>得点
（同一市町村）</t>
    <rPh sb="0" eb="2">
      <t>トクテン</t>
    </rPh>
    <rPh sb="4" eb="6">
      <t>ドウイツ</t>
    </rPh>
    <rPh sb="6" eb="9">
      <t>シチョウソン</t>
    </rPh>
    <phoneticPr fontId="34"/>
  </si>
  <si>
    <t>得点
（同一土木）</t>
    <rPh sb="0" eb="2">
      <t>トクテン</t>
    </rPh>
    <rPh sb="4" eb="6">
      <t>ドウイツ</t>
    </rPh>
    <rPh sb="6" eb="8">
      <t>ドボク</t>
    </rPh>
    <phoneticPr fontId="34"/>
  </si>
  <si>
    <t>最終得点</t>
    <rPh sb="0" eb="2">
      <t>サイシュウ</t>
    </rPh>
    <rPh sb="2" eb="4">
      <t>トクテン</t>
    </rPh>
    <phoneticPr fontId="34"/>
  </si>
  <si>
    <t>-</t>
  </si>
  <si>
    <t>配点
(満点)</t>
    <rPh sb="0" eb="2">
      <t>ハイテン</t>
    </rPh>
    <rPh sb="4" eb="6">
      <t>マンテン</t>
    </rPh>
    <phoneticPr fontId="18"/>
  </si>
  <si>
    <t>本店</t>
    <rPh sb="0" eb="2">
      <t>ホンテン</t>
    </rPh>
    <phoneticPr fontId="34"/>
  </si>
  <si>
    <t>配点</t>
    <rPh sb="0" eb="2">
      <t>ハイテン</t>
    </rPh>
    <phoneticPr fontId="34"/>
  </si>
  <si>
    <t>得点</t>
    <rPh sb="0" eb="2">
      <t>トクテン</t>
    </rPh>
    <phoneticPr fontId="34"/>
  </si>
  <si>
    <t>最終得点</t>
    <rPh sb="0" eb="2">
      <t>サイシュウ</t>
    </rPh>
    <rPh sb="2" eb="4">
      <t>トクテン</t>
    </rPh>
    <phoneticPr fontId="34"/>
  </si>
  <si>
    <t>建築工事</t>
    <rPh sb="0" eb="2">
      <t>ケンチク</t>
    </rPh>
    <rPh sb="2" eb="4">
      <t>コウジ</t>
    </rPh>
    <phoneticPr fontId="34"/>
  </si>
  <si>
    <t>電気設備工事</t>
    <rPh sb="0" eb="2">
      <t>デンキ</t>
    </rPh>
    <rPh sb="2" eb="4">
      <t>セツビ</t>
    </rPh>
    <rPh sb="4" eb="6">
      <t>コウジ</t>
    </rPh>
    <phoneticPr fontId="34"/>
  </si>
  <si>
    <t>暖冷房衛生設備工事</t>
    <rPh sb="0" eb="3">
      <t>ダンレイボウ</t>
    </rPh>
    <rPh sb="3" eb="5">
      <t>エイセイ</t>
    </rPh>
    <rPh sb="5" eb="7">
      <t>セツビ</t>
    </rPh>
    <rPh sb="7" eb="9">
      <t>コウジ</t>
    </rPh>
    <phoneticPr fontId="34"/>
  </si>
  <si>
    <t>鋼橋上部工事</t>
    <rPh sb="0" eb="2">
      <t>コウキョウ</t>
    </rPh>
    <rPh sb="2" eb="4">
      <t>ジョウブ</t>
    </rPh>
    <rPh sb="4" eb="6">
      <t>コウジ</t>
    </rPh>
    <phoneticPr fontId="34"/>
  </si>
  <si>
    <t>PC橋上部工事</t>
    <rPh sb="2" eb="3">
      <t>ハシ</t>
    </rPh>
    <rPh sb="3" eb="5">
      <t>ジョウブ</t>
    </rPh>
    <rPh sb="5" eb="7">
      <t>コウジ</t>
    </rPh>
    <phoneticPr fontId="34"/>
  </si>
  <si>
    <t>しゅんせつ工事</t>
    <rPh sb="5" eb="7">
      <t>コウジ</t>
    </rPh>
    <phoneticPr fontId="34"/>
  </si>
  <si>
    <t>塗装工事</t>
    <rPh sb="0" eb="2">
      <t>トソウ</t>
    </rPh>
    <rPh sb="2" eb="4">
      <t>コウジ</t>
    </rPh>
    <phoneticPr fontId="34"/>
  </si>
  <si>
    <t>法面処理工事</t>
    <rPh sb="0" eb="2">
      <t>ノリメン</t>
    </rPh>
    <rPh sb="2" eb="4">
      <t>ショリ</t>
    </rPh>
    <rPh sb="4" eb="6">
      <t>コウジ</t>
    </rPh>
    <phoneticPr fontId="34"/>
  </si>
  <si>
    <t>上下水道工事</t>
    <rPh sb="0" eb="4">
      <t>ジョウゲスイドウ</t>
    </rPh>
    <rPh sb="4" eb="6">
      <t>コウジ</t>
    </rPh>
    <phoneticPr fontId="34"/>
  </si>
  <si>
    <t>清掃施設工事</t>
    <rPh sb="0" eb="2">
      <t>セイソウ</t>
    </rPh>
    <rPh sb="2" eb="4">
      <t>シセツ</t>
    </rPh>
    <rPh sb="4" eb="6">
      <t>コウジ</t>
    </rPh>
    <phoneticPr fontId="34"/>
  </si>
  <si>
    <t>消雪工事</t>
    <rPh sb="0" eb="1">
      <t>ケ</t>
    </rPh>
    <rPh sb="1" eb="2">
      <t>ユキ</t>
    </rPh>
    <rPh sb="2" eb="4">
      <t>コウジ</t>
    </rPh>
    <phoneticPr fontId="34"/>
  </si>
  <si>
    <t>機械設備工事</t>
    <rPh sb="0" eb="2">
      <t>キカイ</t>
    </rPh>
    <rPh sb="2" eb="4">
      <t>セツビ</t>
    </rPh>
    <rPh sb="4" eb="6">
      <t>コウジ</t>
    </rPh>
    <phoneticPr fontId="34"/>
  </si>
  <si>
    <t>通信設備工事</t>
    <rPh sb="0" eb="2">
      <t>ツウシン</t>
    </rPh>
    <rPh sb="2" eb="4">
      <t>セツビ</t>
    </rPh>
    <rPh sb="4" eb="6">
      <t>コウジ</t>
    </rPh>
    <phoneticPr fontId="34"/>
  </si>
  <si>
    <t>造園工事</t>
    <rPh sb="0" eb="2">
      <t>ゾウエン</t>
    </rPh>
    <rPh sb="2" eb="4">
      <t>コウジ</t>
    </rPh>
    <phoneticPr fontId="34"/>
  </si>
  <si>
    <t>さく井工事</t>
    <rPh sb="2" eb="3">
      <t>イ</t>
    </rPh>
    <rPh sb="3" eb="5">
      <t>コウジ</t>
    </rPh>
    <phoneticPr fontId="34"/>
  </si>
  <si>
    <t>グラウト工事</t>
    <rPh sb="4" eb="6">
      <t>コウジ</t>
    </rPh>
    <phoneticPr fontId="34"/>
  </si>
  <si>
    <t>企業の地域社会に対する貢献度</t>
    <phoneticPr fontId="34"/>
  </si>
  <si>
    <t>・（別記２）総合評価点評価基準の※4の市町村を入力する。
・市町村が２箇所設定されている場合は、市町村②も選択。</t>
    <rPh sb="19" eb="22">
      <t>シチョウソン</t>
    </rPh>
    <rPh sb="23" eb="25">
      <t>ニュウリョク</t>
    </rPh>
    <rPh sb="30" eb="33">
      <t>シチョウソン</t>
    </rPh>
    <rPh sb="35" eb="37">
      <t>カショ</t>
    </rPh>
    <rPh sb="37" eb="39">
      <t>セッテイ</t>
    </rPh>
    <rPh sb="44" eb="46">
      <t>バアイ</t>
    </rPh>
    <rPh sb="48" eb="51">
      <t>シチョウソン</t>
    </rPh>
    <rPh sb="53" eb="55">
      <t>センタク</t>
    </rPh>
    <phoneticPr fontId="34"/>
  </si>
  <si>
    <t>地域要件【選択】</t>
    <rPh sb="0" eb="2">
      <t>チイキ</t>
    </rPh>
    <rPh sb="2" eb="4">
      <t>ヨウケン</t>
    </rPh>
    <rPh sb="5" eb="7">
      <t>センタク</t>
    </rPh>
    <phoneticPr fontId="34"/>
  </si>
  <si>
    <t>評価対象</t>
    <rPh sb="0" eb="2">
      <t>ヒョウカ</t>
    </rPh>
    <rPh sb="2" eb="4">
      <t>タイショウ</t>
    </rPh>
    <phoneticPr fontId="34"/>
  </si>
  <si>
    <t>○地域要件ごとの評価対象エリアの判定</t>
    <rPh sb="1" eb="3">
      <t>チイキ</t>
    </rPh>
    <rPh sb="3" eb="5">
      <t>ヨウケン</t>
    </rPh>
    <rPh sb="8" eb="10">
      <t>ヒョウカ</t>
    </rPh>
    <rPh sb="10" eb="12">
      <t>タイショウ</t>
    </rPh>
    <rPh sb="16" eb="18">
      <t>ハンテイ</t>
    </rPh>
    <phoneticPr fontId="34"/>
  </si>
  <si>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4"/>
  </si>
  <si>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4"/>
  </si>
  <si>
    <t>過去3年以内に1件以上あり</t>
    <rPh sb="0" eb="2">
      <t>カコ</t>
    </rPh>
    <rPh sb="3" eb="4">
      <t>ネン</t>
    </rPh>
    <rPh sb="4" eb="6">
      <t>イナイ</t>
    </rPh>
    <rPh sb="8" eb="9">
      <t>ケン</t>
    </rPh>
    <rPh sb="9" eb="11">
      <t>イジョウ</t>
    </rPh>
    <phoneticPr fontId="34"/>
  </si>
  <si>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4"/>
  </si>
  <si>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4"/>
  </si>
  <si>
    <t>-</t>
    <phoneticPr fontId="34"/>
  </si>
  <si>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4"/>
  </si>
  <si>
    <t>入札参加者の判定</t>
    <rPh sb="0" eb="2">
      <t>ニュウサツ</t>
    </rPh>
    <rPh sb="2" eb="5">
      <t>サンカシャ</t>
    </rPh>
    <rPh sb="6" eb="8">
      <t>ハンテイ</t>
    </rPh>
    <phoneticPr fontId="34"/>
  </si>
  <si>
    <t>累計</t>
    <rPh sb="0" eb="2">
      <t>ルイケイ</t>
    </rPh>
    <phoneticPr fontId="34"/>
  </si>
  <si>
    <t>4:全国で
県内業者</t>
    <rPh sb="2" eb="4">
      <t>ゼンコク</t>
    </rPh>
    <rPh sb="6" eb="8">
      <t>ケンナイ</t>
    </rPh>
    <rPh sb="8" eb="10">
      <t>ギョウシャ</t>
    </rPh>
    <phoneticPr fontId="34"/>
  </si>
  <si>
    <t>配点
（同一建設or県内）</t>
    <rPh sb="0" eb="2">
      <t>ハイテン</t>
    </rPh>
    <rPh sb="4" eb="6">
      <t>ドウイツ</t>
    </rPh>
    <rPh sb="6" eb="8">
      <t>ケンセツ</t>
    </rPh>
    <rPh sb="10" eb="12">
      <t>ケンナイ</t>
    </rPh>
    <phoneticPr fontId="34"/>
  </si>
  <si>
    <t>1：該当あり</t>
    <rPh sb="2" eb="4">
      <t>ガイトウ</t>
    </rPh>
    <phoneticPr fontId="34"/>
  </si>
  <si>
    <t>3件</t>
    <rPh sb="1" eb="2">
      <t>ケン</t>
    </rPh>
    <phoneticPr fontId="34"/>
  </si>
  <si>
    <t>2件</t>
    <rPh sb="1" eb="2">
      <t>ケン</t>
    </rPh>
    <phoneticPr fontId="34"/>
  </si>
  <si>
    <t>1件</t>
    <rPh sb="1" eb="2">
      <t>ケン</t>
    </rPh>
    <phoneticPr fontId="34"/>
  </si>
  <si>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4"/>
  </si>
  <si>
    <t>・所在建設事務所
　【自動表示】</t>
    <rPh sb="1" eb="3">
      <t>ショザイ</t>
    </rPh>
    <rPh sb="3" eb="5">
      <t>ケンセツ</t>
    </rPh>
    <rPh sb="5" eb="8">
      <t>ジムショ</t>
    </rPh>
    <rPh sb="11" eb="13">
      <t>ジドウ</t>
    </rPh>
    <rPh sb="13" eb="15">
      <t>ヒョウジ</t>
    </rPh>
    <phoneticPr fontId="34"/>
  </si>
  <si>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4"/>
  </si>
  <si>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4"/>
  </si>
  <si>
    <t>・判定結果【自動表示】</t>
    <rPh sb="1" eb="3">
      <t>ハンテイ</t>
    </rPh>
    <rPh sb="3" eb="5">
      <t>ケッカ</t>
    </rPh>
    <rPh sb="6" eb="8">
      <t>ジドウ</t>
    </rPh>
    <rPh sb="8" eb="10">
      <t>ヒョウジ</t>
    </rPh>
    <phoneticPr fontId="34"/>
  </si>
  <si>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4"/>
  </si>
  <si>
    <t>参加者</t>
    <rPh sb="0" eb="3">
      <t>サンカシャ</t>
    </rPh>
    <phoneticPr fontId="34"/>
  </si>
  <si>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4"/>
  </si>
  <si>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4"/>
  </si>
  <si>
    <t>【下位点】基準日における正規雇用従業員数が1年前と同じ場合</t>
    <rPh sb="1" eb="4">
      <t>カイテン</t>
    </rPh>
    <rPh sb="22" eb="23">
      <t>ネン</t>
    </rPh>
    <rPh sb="23" eb="24">
      <t>マエ</t>
    </rPh>
    <rPh sb="25" eb="26">
      <t>オナ</t>
    </rPh>
    <rPh sb="27" eb="29">
      <t>バアイ</t>
    </rPh>
    <phoneticPr fontId="34"/>
  </si>
  <si>
    <t>活動場所</t>
    <rPh sb="0" eb="2">
      <t>カツドウ</t>
    </rPh>
    <rPh sb="2" eb="4">
      <t>バショ</t>
    </rPh>
    <phoneticPr fontId="34"/>
  </si>
  <si>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</si>
  <si>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4"/>
  </si>
  <si>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4"/>
  </si>
  <si>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4"/>
  </si>
  <si>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</si>
  <si>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1：準本店</t>
    <rPh sb="2" eb="3">
      <t>ジュン</t>
    </rPh>
    <rPh sb="3" eb="5">
      <t>ホンテン</t>
    </rPh>
    <phoneticPr fontId="34"/>
  </si>
  <si>
    <t>本店or準本店or支店等の別</t>
    <rPh sb="0" eb="2">
      <t>ホンテン</t>
    </rPh>
    <rPh sb="4" eb="5">
      <t>ジュン</t>
    </rPh>
    <rPh sb="5" eb="7">
      <t>ホンテン</t>
    </rPh>
    <rPh sb="9" eb="11">
      <t>シテン</t>
    </rPh>
    <rPh sb="11" eb="12">
      <t>トウ</t>
    </rPh>
    <rPh sb="13" eb="14">
      <t>ベツ</t>
    </rPh>
    <phoneticPr fontId="34"/>
  </si>
  <si>
    <t>本店</t>
    <rPh sb="0" eb="2">
      <t>ホンテン</t>
    </rPh>
    <phoneticPr fontId="34"/>
  </si>
  <si>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</si>
  <si>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4"/>
  </si>
  <si>
    <t>入札参加者</t>
    <rPh sb="0" eb="2">
      <t>ニュウサツ</t>
    </rPh>
    <rPh sb="2" eb="4">
      <t>サンカ</t>
    </rPh>
    <rPh sb="4" eb="5">
      <t>シャ</t>
    </rPh>
    <phoneticPr fontId="34"/>
  </si>
  <si>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4"/>
  </si>
  <si>
    <t>雇用の維持
・確保</t>
    <phoneticPr fontId="18"/>
  </si>
  <si>
    <t>左記実績の有無を選択↓</t>
    <rPh sb="0" eb="2">
      <t>サキ</t>
    </rPh>
    <rPh sb="2" eb="4">
      <t>ジッセキ</t>
    </rPh>
    <rPh sb="5" eb="7">
      <t>ウム</t>
    </rPh>
    <rPh sb="8" eb="10">
      <t>センタク</t>
    </rPh>
    <phoneticPr fontId="34"/>
  </si>
  <si>
    <t>左記実績の活動場所(市町村)を選択↓</t>
    <rPh sb="0" eb="2">
      <t>サキ</t>
    </rPh>
    <rPh sb="2" eb="4">
      <t>ジッセキ</t>
    </rPh>
    <rPh sb="5" eb="7">
      <t>カツドウ</t>
    </rPh>
    <rPh sb="7" eb="9">
      <t>バショ</t>
    </rPh>
    <rPh sb="10" eb="13">
      <t>シチョウソン</t>
    </rPh>
    <rPh sb="15" eb="17">
      <t>センタク</t>
    </rPh>
    <phoneticPr fontId="34"/>
  </si>
  <si>
    <t>選択項目（４項目中２項目まで評価）</t>
    <rPh sb="0" eb="2">
      <t>センタク</t>
    </rPh>
    <rPh sb="2" eb="4">
      <t>コウモク</t>
    </rPh>
    <rPh sb="6" eb="8">
      <t>コウモク</t>
    </rPh>
    <rPh sb="8" eb="9">
      <t>チュウ</t>
    </rPh>
    <rPh sb="10" eb="12">
      <t>コウモク</t>
    </rPh>
    <rPh sb="14" eb="16">
      <t>ヒョウカ</t>
    </rPh>
    <phoneticPr fontId="34"/>
  </si>
  <si>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4"/>
  </si>
  <si>
    <t>自動表示。（入力不要）※</t>
    <rPh sb="0" eb="2">
      <t>ジドウ</t>
    </rPh>
    <rPh sb="2" eb="4">
      <t>ヒョウジ</t>
    </rPh>
    <rPh sb="6" eb="8">
      <t>ニュウリョク</t>
    </rPh>
    <rPh sb="8" eb="10">
      <t>フヨウ</t>
    </rPh>
    <phoneticPr fontId="34"/>
  </si>
  <si>
    <t>同一発注種別【選択】</t>
    <rPh sb="0" eb="2">
      <t>ドウイツ</t>
    </rPh>
    <rPh sb="2" eb="4">
      <t>ハッチュウ</t>
    </rPh>
    <rPh sb="4" eb="6">
      <t>シュベツ</t>
    </rPh>
    <rPh sb="7" eb="9">
      <t>センタク</t>
    </rPh>
    <phoneticPr fontId="34"/>
  </si>
  <si>
    <t>4：OK</t>
    <phoneticPr fontId="34"/>
  </si>
  <si>
    <t>□　簡易型</t>
    <phoneticPr fontId="34"/>
  </si>
  <si>
    <t>□　標準型</t>
    <phoneticPr fontId="34"/>
  </si>
  <si>
    <t>～</t>
    <phoneticPr fontId="34"/>
  </si>
  <si>
    <t>第</t>
    <rPh sb="0" eb="1">
      <t>ダイ</t>
    </rPh>
    <phoneticPr fontId="34"/>
  </si>
  <si>
    <t>－</t>
    <phoneticPr fontId="34"/>
  </si>
  <si>
    <t>号</t>
    <rPh sb="0" eb="1">
      <t>ゴウ</t>
    </rPh>
    <phoneticPr fontId="34"/>
  </si>
  <si>
    <t>～</t>
    <phoneticPr fontId="34"/>
  </si>
  <si>
    <t>～</t>
    <phoneticPr fontId="34"/>
  </si>
  <si>
    <t>～</t>
    <phoneticPr fontId="34"/>
  </si>
  <si>
    <t>工事概要</t>
    <phoneticPr fontId="34"/>
  </si>
  <si>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4"/>
  </si>
  <si>
    <r>
      <t>工事番号　</t>
    </r>
    <r>
      <rPr>
        <sz val="10"/>
        <color rgb="FF000000"/>
        <rFont val="ＭＳ 明朝"/>
        <family val="1"/>
        <charset val="128"/>
      </rPr>
      <t>（半角数字）</t>
    </r>
    <rPh sb="6" eb="8">
      <t>ハンカク</t>
    </rPh>
    <rPh sb="8" eb="10">
      <t>スウジ</t>
    </rPh>
    <phoneticPr fontId="34"/>
  </si>
  <si>
    <t>若手・女性技術者の配置</t>
    <rPh sb="0" eb="2">
      <t>ワカテ</t>
    </rPh>
    <rPh sb="3" eb="5">
      <t>ジョセイ</t>
    </rPh>
    <rPh sb="5" eb="8">
      <t>ギジュツシャ</t>
    </rPh>
    <rPh sb="9" eb="11">
      <t>ハイチ</t>
    </rPh>
    <phoneticPr fontId="34"/>
  </si>
  <si>
    <t>・所在する市町村</t>
    <rPh sb="1" eb="3">
      <t>ショザイ</t>
    </rPh>
    <rPh sb="5" eb="8">
      <t>シチョウソン</t>
    </rPh>
    <phoneticPr fontId="34"/>
  </si>
  <si>
    <t>・本店・準本店・支店等の別</t>
    <rPh sb="1" eb="3">
      <t>ホンテン</t>
    </rPh>
    <rPh sb="4" eb="5">
      <t>ジュン</t>
    </rPh>
    <rPh sb="5" eb="7">
      <t>ホンテン</t>
    </rPh>
    <rPh sb="8" eb="10">
      <t>シテン</t>
    </rPh>
    <rPh sb="10" eb="11">
      <t>トウ</t>
    </rPh>
    <rPh sb="12" eb="13">
      <t>ベツ</t>
    </rPh>
    <phoneticPr fontId="34"/>
  </si>
  <si>
    <r>
      <t>・所在する市町村
　</t>
    </r>
    <r>
      <rPr>
        <sz val="9"/>
        <rFont val="ＭＳ 明朝"/>
        <family val="1"/>
        <charset val="128"/>
      </rPr>
      <t>※該当なしの場合”－”</t>
    </r>
    <rPh sb="1" eb="3">
      <t>ショザイ</t>
    </rPh>
    <rPh sb="5" eb="8">
      <t>シチョウソン</t>
    </rPh>
    <rPh sb="11" eb="13">
      <t>ガイトウ</t>
    </rPh>
    <rPh sb="16" eb="18">
      <t>バアイ</t>
    </rPh>
    <phoneticPr fontId="34"/>
  </si>
  <si>
    <t>・準本店・支店等の別</t>
    <rPh sb="1" eb="2">
      <t>ジュン</t>
    </rPh>
    <rPh sb="2" eb="4">
      <t>ホンテン</t>
    </rPh>
    <rPh sb="5" eb="7">
      <t>シテン</t>
    </rPh>
    <rPh sb="7" eb="8">
      <t>トウ</t>
    </rPh>
    <rPh sb="9" eb="10">
      <t>ベツ</t>
    </rPh>
    <phoneticPr fontId="34"/>
  </si>
  <si>
    <t>●判定結果</t>
    <rPh sb="1" eb="3">
      <t>ハンテイ</t>
    </rPh>
    <rPh sb="3" eb="5">
      <t>ケッカ</t>
    </rPh>
    <phoneticPr fontId="34"/>
  </si>
  <si>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4"/>
  </si>
  <si>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</si>
  <si>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</si>
  <si>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</si>
  <si>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4"/>
  </si>
  <si>
    <t>建設キャリアアップシステム</t>
    <rPh sb="0" eb="2">
      <t>ケンセツ</t>
    </rPh>
    <phoneticPr fontId="34"/>
  </si>
  <si>
    <t>入札参加者の所在地</t>
    <phoneticPr fontId="18"/>
  </si>
  <si>
    <t>2：OK</t>
    <phoneticPr fontId="34"/>
  </si>
  <si>
    <t>配点</t>
    <rPh sb="0" eb="2">
      <t>ハイテン</t>
    </rPh>
    <phoneticPr fontId="34"/>
  </si>
  <si>
    <t>（地域密着型）</t>
    <rPh sb="1" eb="3">
      <t>チイキ</t>
    </rPh>
    <rPh sb="3" eb="5">
      <t>ミッチャク</t>
    </rPh>
    <rPh sb="5" eb="6">
      <t>ガタ</t>
    </rPh>
    <phoneticPr fontId="34"/>
  </si>
  <si>
    <t>■　地域密着型</t>
    <phoneticPr fontId="34"/>
  </si>
  <si>
    <t>（地域密着型）</t>
    <rPh sb="1" eb="3">
      <t>チイキ</t>
    </rPh>
    <rPh sb="3" eb="5">
      <t>ミッチャク</t>
    </rPh>
    <rPh sb="5" eb="6">
      <t>カタ</t>
    </rPh>
    <rPh sb="6" eb="7">
      <t>トクガタ</t>
    </rPh>
    <phoneticPr fontId="34"/>
  </si>
  <si>
    <r>
      <t>様式第１１号－２</t>
    </r>
    <r>
      <rPr>
        <sz val="9"/>
        <rFont val="ＭＳ 明朝"/>
        <family val="1"/>
        <charset val="128"/>
      </rPr>
      <t>（第７条関係）　</t>
    </r>
    <r>
      <rPr>
        <sz val="12"/>
        <rFont val="ＭＳ ゴシック"/>
        <family val="3"/>
        <charset val="128"/>
      </rPr>
      <t>１/２頁</t>
    </r>
    <phoneticPr fontId="18"/>
  </si>
  <si>
    <r>
      <t>様式第１１号－２</t>
    </r>
    <r>
      <rPr>
        <sz val="9"/>
        <rFont val="ＭＳ 明朝"/>
        <family val="1"/>
        <charset val="128"/>
      </rPr>
      <t>（第７条関係）　</t>
    </r>
    <r>
      <rPr>
        <sz val="12"/>
        <rFont val="ＭＳ ゴシック"/>
        <family val="3"/>
        <charset val="128"/>
      </rPr>
      <t>２/２頁</t>
    </r>
    <phoneticPr fontId="18"/>
  </si>
  <si>
    <t>3：OK</t>
    <phoneticPr fontId="34"/>
  </si>
  <si>
    <t>4：OK</t>
    <phoneticPr fontId="34"/>
  </si>
  <si>
    <t>（同種･類似工事と判断可能な工種、数量等）</t>
    <phoneticPr fontId="34"/>
  </si>
  <si>
    <t>工事概要</t>
    <phoneticPr fontId="34"/>
  </si>
  <si>
    <r>
      <t>工事番号　</t>
    </r>
    <r>
      <rPr>
        <sz val="10"/>
        <rFont val="ＭＳ 明朝"/>
        <family val="1"/>
        <charset val="128"/>
      </rPr>
      <t>（半角数字）</t>
    </r>
    <rPh sb="6" eb="8">
      <t>ハンカク</t>
    </rPh>
    <rPh sb="8" eb="10">
      <t>スウジ</t>
    </rPh>
    <phoneticPr fontId="34"/>
  </si>
  <si>
    <t>地域要件
管内</t>
    <rPh sb="0" eb="2">
      <t>チイキ</t>
    </rPh>
    <rPh sb="2" eb="4">
      <t>ヨウケン</t>
    </rPh>
    <rPh sb="5" eb="7">
      <t>カンナイ</t>
    </rPh>
    <phoneticPr fontId="34"/>
  </si>
  <si>
    <t>地域要件
隣接３or県内</t>
    <rPh sb="0" eb="2">
      <t>チイキ</t>
    </rPh>
    <rPh sb="2" eb="4">
      <t>ヨウケン</t>
    </rPh>
    <rPh sb="5" eb="7">
      <t>リンセツ</t>
    </rPh>
    <rPh sb="10" eb="11">
      <t>ケン</t>
    </rPh>
    <phoneticPr fontId="34"/>
  </si>
  <si>
    <t>地域要件
全国</t>
    <rPh sb="0" eb="2">
      <t>チイキ</t>
    </rPh>
    <rPh sb="2" eb="4">
      <t>ヨウケン</t>
    </rPh>
    <rPh sb="5" eb="7">
      <t>ゼンコク</t>
    </rPh>
    <phoneticPr fontId="34"/>
  </si>
  <si>
    <t>地域要件
隣接３or県内</t>
    <rPh sb="0" eb="2">
      <t>チイキ</t>
    </rPh>
    <rPh sb="2" eb="4">
      <t>ヨウケン</t>
    </rPh>
    <rPh sb="5" eb="7">
      <t>リンセツ</t>
    </rPh>
    <rPh sb="10" eb="12">
      <t>ケンナイ</t>
    </rPh>
    <phoneticPr fontId="34"/>
  </si>
  <si>
    <t>1：入札参加者が同一土木（同一市町村）</t>
    <rPh sb="8" eb="10">
      <t>ドウイツ</t>
    </rPh>
    <rPh sb="13" eb="15">
      <t>ドウイツ</t>
    </rPh>
    <rPh sb="15" eb="18">
      <t>シチョウソン</t>
    </rPh>
    <phoneticPr fontId="34"/>
  </si>
  <si>
    <t>1：委任なし支店等が準本店かつ同一土木(同一市町村)</t>
    <rPh sb="10" eb="11">
      <t>ジュン</t>
    </rPh>
    <rPh sb="11" eb="13">
      <t>ホンテン</t>
    </rPh>
    <rPh sb="15" eb="17">
      <t>ドウイツ</t>
    </rPh>
    <rPh sb="17" eb="19">
      <t>ドボク</t>
    </rPh>
    <rPh sb="20" eb="22">
      <t>ドウイツ</t>
    </rPh>
    <rPh sb="22" eb="25">
      <t>シチョウソン</t>
    </rPh>
    <phoneticPr fontId="34"/>
  </si>
  <si>
    <t>1：「ボランティア」「選択項目」評価対象</t>
    <rPh sb="11" eb="13">
      <t>センタク</t>
    </rPh>
    <rPh sb="13" eb="15">
      <t>コウモク</t>
    </rPh>
    <rPh sb="16" eb="18">
      <t>ヒョウカ</t>
    </rPh>
    <rPh sb="18" eb="20">
      <t>タイショウ</t>
    </rPh>
    <phoneticPr fontId="34"/>
  </si>
  <si>
    <t>←1：同一土木の本店(準本店)</t>
    <rPh sb="3" eb="5">
      <t>ドウイツ</t>
    </rPh>
    <rPh sb="5" eb="7">
      <t>ドボク</t>
    </rPh>
    <rPh sb="8" eb="10">
      <t>ホンテン</t>
    </rPh>
    <rPh sb="11" eb="12">
      <t>ジュン</t>
    </rPh>
    <rPh sb="12" eb="14">
      <t>ホンテン</t>
    </rPh>
    <phoneticPr fontId="34"/>
  </si>
  <si>
    <t>県内
県外</t>
    <rPh sb="3" eb="5">
      <t>ケンガイ</t>
    </rPh>
    <phoneticPr fontId="34"/>
  </si>
  <si>
    <t>県内
県外</t>
    <rPh sb="0" eb="2">
      <t>ケンナイ</t>
    </rPh>
    <rPh sb="3" eb="5">
      <t>ケンガイ</t>
    </rPh>
    <phoneticPr fontId="34"/>
  </si>
  <si>
    <t>-</t>
    <phoneticPr fontId="34"/>
  </si>
  <si>
    <t>住所</t>
    <rPh sb="0" eb="2">
      <t>ジュウショ</t>
    </rPh>
    <phoneticPr fontId="34"/>
  </si>
  <si>
    <t>商号又は名称</t>
    <rPh sb="0" eb="2">
      <t>ショウゴウ</t>
    </rPh>
    <rPh sb="2" eb="3">
      <t>マタ</t>
    </rPh>
    <rPh sb="4" eb="6">
      <t>メイショウ</t>
    </rPh>
    <phoneticPr fontId="34"/>
  </si>
  <si>
    <t>工事箇所の所在する市町村　【選択】</t>
    <rPh sb="0" eb="2">
      <t>コウジ</t>
    </rPh>
    <rPh sb="2" eb="4">
      <t>カショ</t>
    </rPh>
    <rPh sb="5" eb="7">
      <t>ショザイ</t>
    </rPh>
    <rPh sb="9" eb="12">
      <t>シチョウソン</t>
    </rPh>
    <rPh sb="14" eb="16">
      <t>センタク</t>
    </rPh>
    <phoneticPr fontId="34"/>
  </si>
  <si>
    <t>＜基本データ＞　※黄色セルに入力。</t>
    <rPh sb="9" eb="11">
      <t>キイロ</t>
    </rPh>
    <rPh sb="14" eb="16">
      <t>ニュウリョク</t>
    </rPh>
    <phoneticPr fontId="18"/>
  </si>
  <si>
    <t>項目①</t>
    <rPh sb="0" eb="2">
      <t>コウモク</t>
    </rPh>
    <phoneticPr fontId="34"/>
  </si>
  <si>
    <t>備考</t>
    <rPh sb="0" eb="2">
      <t>ビコウ</t>
    </rPh>
    <phoneticPr fontId="34"/>
  </si>
  <si>
    <t>作成日（技術提案書提出日）</t>
    <rPh sb="0" eb="3">
      <t>サクセイビ</t>
    </rPh>
    <rPh sb="4" eb="6">
      <t>ギジュツ</t>
    </rPh>
    <rPh sb="6" eb="9">
      <t>テイアンショ</t>
    </rPh>
    <rPh sb="9" eb="11">
      <t>テイシュツ</t>
    </rPh>
    <rPh sb="11" eb="12">
      <t>ビ</t>
    </rPh>
    <phoneticPr fontId="34"/>
  </si>
  <si>
    <t>代表者氏名</t>
    <rPh sb="0" eb="3">
      <t>ダイヒョウシャ</t>
    </rPh>
    <rPh sb="3" eb="5">
      <t>シメイ</t>
    </rPh>
    <phoneticPr fontId="34"/>
  </si>
  <si>
    <t>電話番号</t>
    <rPh sb="0" eb="2">
      <t>デンワ</t>
    </rPh>
    <rPh sb="2" eb="4">
      <t>バンゴウ</t>
    </rPh>
    <phoneticPr fontId="34"/>
  </si>
  <si>
    <t>作成担当者氏名</t>
    <rPh sb="0" eb="2">
      <t>サクセイ</t>
    </rPh>
    <rPh sb="2" eb="5">
      <t>タントウシャ</t>
    </rPh>
    <rPh sb="5" eb="7">
      <t>シメイ</t>
    </rPh>
    <phoneticPr fontId="34"/>
  </si>
  <si>
    <t>項目②</t>
    <rPh sb="0" eb="2">
      <t>コウモク</t>
    </rPh>
    <phoneticPr fontId="34"/>
  </si>
  <si>
    <t>自動計算。
（「品質確保等の確実性」(7点)を含まない。）</t>
    <rPh sb="2" eb="4">
      <t>ケイサン</t>
    </rPh>
    <rPh sb="20" eb="21">
      <t>テン</t>
    </rPh>
    <phoneticPr fontId="34"/>
  </si>
  <si>
    <r>
      <t xml:space="preserve">配置期間
</t>
    </r>
    <r>
      <rPr>
        <sz val="10"/>
        <color rgb="FF000000"/>
        <rFont val="ＭＳ 明朝"/>
        <family val="1"/>
        <charset val="128"/>
      </rPr>
      <t>(入力例:R3.5.1～R4.3.31)</t>
    </r>
    <rPh sb="0" eb="2">
      <t>ハイチ</t>
    </rPh>
    <rPh sb="2" eb="4">
      <t>キカン</t>
    </rPh>
    <phoneticPr fontId="34"/>
  </si>
  <si>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4"/>
  </si>
  <si>
    <t>建築、電気設備、暖冷房衛生設備</t>
    <rPh sb="0" eb="2">
      <t>ケンチク</t>
    </rPh>
    <rPh sb="3" eb="5">
      <t>デンキ</t>
    </rPh>
    <rPh sb="5" eb="7">
      <t>セツビ</t>
    </rPh>
    <rPh sb="8" eb="11">
      <t>ダンレイボウ</t>
    </rPh>
    <rPh sb="11" eb="13">
      <t>エイセイ</t>
    </rPh>
    <rPh sb="13" eb="15">
      <t>セツビ</t>
    </rPh>
    <phoneticPr fontId="34"/>
  </si>
  <si>
    <t>85点以上</t>
    <rPh sb="2" eb="3">
      <t>テン</t>
    </rPh>
    <rPh sb="3" eb="5">
      <t>イジョウ</t>
    </rPh>
    <phoneticPr fontId="34"/>
  </si>
  <si>
    <t>80点以上85点未満</t>
    <rPh sb="2" eb="3">
      <t>テン</t>
    </rPh>
    <rPh sb="3" eb="5">
      <t>イジョウ</t>
    </rPh>
    <rPh sb="7" eb="8">
      <t>テン</t>
    </rPh>
    <rPh sb="8" eb="10">
      <t>ミマン</t>
    </rPh>
    <phoneticPr fontId="34"/>
  </si>
  <si>
    <t>-</t>
    <phoneticPr fontId="34"/>
  </si>
  <si>
    <t>2：本店</t>
    <rPh sb="2" eb="4">
      <t>ホンテン</t>
    </rPh>
    <phoneticPr fontId="34"/>
  </si>
  <si>
    <t xml:space="preserve">第○○-○○○○○-○○○○号 </t>
    <rPh sb="0" eb="1">
      <t>ダイ</t>
    </rPh>
    <rPh sb="14" eb="15">
      <t>ゴウ</t>
    </rPh>
    <phoneticPr fontId="34"/>
  </si>
  <si>
    <t>○○○○○○○○○○○○工事</t>
    <rPh sb="12" eb="14">
      <t>コウジ</t>
    </rPh>
    <phoneticPr fontId="34"/>
  </si>
  <si>
    <t>令和○年○月○日</t>
    <rPh sb="0" eb="2">
      <t>レイワ</t>
    </rPh>
    <rPh sb="3" eb="4">
      <t>ネン</t>
    </rPh>
    <rPh sb="5" eb="6">
      <t>ツキ</t>
    </rPh>
    <rPh sb="7" eb="8">
      <t>ニチ</t>
    </rPh>
    <phoneticPr fontId="34"/>
  </si>
  <si>
    <t>○○市○○町○○番地</t>
    <rPh sb="2" eb="3">
      <t>シ</t>
    </rPh>
    <rPh sb="5" eb="6">
      <t>マチ</t>
    </rPh>
    <rPh sb="8" eb="9">
      <t>バン</t>
    </rPh>
    <rPh sb="9" eb="10">
      <t>チ</t>
    </rPh>
    <phoneticPr fontId="34"/>
  </si>
  <si>
    <t>株式会社○○○○</t>
    <rPh sb="0" eb="2">
      <t>カブシキ</t>
    </rPh>
    <rPh sb="2" eb="4">
      <t>カイシャ</t>
    </rPh>
    <phoneticPr fontId="34"/>
  </si>
  <si>
    <t>代表取締役　○○○○</t>
    <rPh sb="0" eb="2">
      <t>ダイヒョウ</t>
    </rPh>
    <rPh sb="2" eb="5">
      <t>トリシマリヤク</t>
    </rPh>
    <phoneticPr fontId="34"/>
  </si>
  <si>
    <t>000-000-0000</t>
    <phoneticPr fontId="34"/>
  </si>
  <si>
    <t>○○○○</t>
    <phoneticPr fontId="34"/>
  </si>
  <si>
    <t>提出は、様式第１号及び様式第１１号－２をPDF形式で提出又はexcel様式をそのまま提出。</t>
    <phoneticPr fontId="34"/>
  </si>
  <si>
    <t>項目①：入札参加者の情報を入力</t>
    <rPh sb="0" eb="2">
      <t>コウモク</t>
    </rPh>
    <rPh sb="4" eb="6">
      <t>ニュウサツ</t>
    </rPh>
    <rPh sb="6" eb="9">
      <t>サンカシャ</t>
    </rPh>
    <rPh sb="10" eb="12">
      <t>ジョウホウ</t>
    </rPh>
    <rPh sb="13" eb="15">
      <t>ニュウリョク</t>
    </rPh>
    <phoneticPr fontId="34"/>
  </si>
  <si>
    <t>項目②：入札公告の内容を入力</t>
    <rPh sb="0" eb="2">
      <t>コウモク</t>
    </rPh>
    <rPh sb="4" eb="6">
      <t>ニュウサツ</t>
    </rPh>
    <rPh sb="6" eb="8">
      <t>コウコク</t>
    </rPh>
    <rPh sb="9" eb="11">
      <t>ナイヨウ</t>
    </rPh>
    <rPh sb="12" eb="14">
      <t>ニュウリョク</t>
    </rPh>
    <phoneticPr fontId="34"/>
  </si>
  <si>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4"/>
  </si>
  <si>
    <t>記入又は選択（入札公告の内容を入力）</t>
    <rPh sb="0" eb="2">
      <t>キニュウ</t>
    </rPh>
    <rPh sb="2" eb="3">
      <t>マタ</t>
    </rPh>
    <rPh sb="4" eb="6">
      <t>センタク</t>
    </rPh>
    <rPh sb="7" eb="9">
      <t>ニュウサツ</t>
    </rPh>
    <rPh sb="9" eb="11">
      <t>コウコク</t>
    </rPh>
    <rPh sb="12" eb="14">
      <t>ナイヨウ</t>
    </rPh>
    <rPh sb="15" eb="17">
      <t>ニュウリョク</t>
    </rPh>
    <phoneticPr fontId="34"/>
  </si>
  <si>
    <r>
      <t>記　載　事　項</t>
    </r>
    <r>
      <rPr>
        <sz val="9"/>
        <color rgb="FF000000"/>
        <rFont val="ＭＳ 明朝"/>
        <family val="1"/>
        <charset val="128"/>
      </rPr>
      <t>【記載の仕方　総合評価方式様式関係記載留意事項　§３、４、５】</t>
    </r>
    <phoneticPr fontId="34"/>
  </si>
  <si>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4"/>
  </si>
  <si>
    <t>発注種別
[選択]</t>
    <rPh sb="0" eb="2">
      <t>ハッチュウ</t>
    </rPh>
    <rPh sb="2" eb="4">
      <t>シュベツ</t>
    </rPh>
    <rPh sb="6" eb="8">
      <t>センタク</t>
    </rPh>
    <phoneticPr fontId="34"/>
  </si>
  <si>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6" eb="8">
      <t>センタク</t>
    </rPh>
    <rPh sb="11" eb="13">
      <t>タイショウ</t>
    </rPh>
    <rPh sb="16" eb="17">
      <t>テン</t>
    </rPh>
    <rPh sb="17" eb="19">
      <t>イジョウ</t>
    </rPh>
    <phoneticPr fontId="34"/>
  </si>
  <si>
    <t>[選択]</t>
    <rPh sb="1" eb="3">
      <t>センタク</t>
    </rPh>
    <phoneticPr fontId="34"/>
  </si>
  <si>
    <t>[選択]</t>
    <rPh sb="0" eb="2">
      <t>センタク</t>
    </rPh>
    <phoneticPr fontId="34"/>
  </si>
  <si>
    <t>※記載事項の基準日は開札日とする。</t>
    <phoneticPr fontId="34"/>
  </si>
  <si>
    <t>※確認のための提出書類は、落札候補者となり入札執行権者から連絡があってから指定期日までに提出すること。</t>
    <phoneticPr fontId="34"/>
  </si>
  <si>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4"/>
  </si>
  <si>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4"/>
  </si>
  <si>
    <r>
      <t>記　載　事　項　</t>
    </r>
    <r>
      <rPr>
        <sz val="9"/>
        <color rgb="FF000000"/>
        <rFont val="ＭＳ 明朝"/>
        <family val="1"/>
        <charset val="128"/>
      </rPr>
      <t>【記載の仕方　総合評価方式様式関係記載留意事項　§３，４，５】</t>
    </r>
    <phoneticPr fontId="34"/>
  </si>
  <si>
    <t>【上位点】過去3年以内における災害時の出動実績があり、かつ国・県・市町村のいずれかと災害時の応援協定を締結している場合。※活動場所は、災害時出動実績のある市町村を選択する。</t>
    <phoneticPr fontId="34"/>
  </si>
  <si>
    <t>【中位点】過去3年以内における災害時の出動実績がある場合。</t>
    <phoneticPr fontId="34"/>
  </si>
  <si>
    <t>【下位点】国・県・市町村のいずれかと災害時の応援協定を締結している場合。※活動場所は、協定の範囲内で、工事箇所に最も近い市町村を選択する。</t>
    <phoneticPr fontId="34"/>
  </si>
  <si>
    <r>
      <t xml:space="preserve">企業の施工能力
</t>
    </r>
    <r>
      <rPr>
        <sz val="10"/>
        <color rgb="FF000000"/>
        <rFont val="ＭＳ 明朝"/>
        <family val="1"/>
        <charset val="128"/>
      </rPr>
      <t>（同種・類似工事の施工実績）</t>
    </r>
    <phoneticPr fontId="18"/>
  </si>
  <si>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4"/>
  </si>
  <si>
    <t>[入力]
[選択]</t>
    <rPh sb="1" eb="3">
      <t>ニュウリョク</t>
    </rPh>
    <rPh sb="6" eb="8">
      <t>センタク</t>
    </rPh>
    <phoneticPr fontId="34"/>
  </si>
  <si>
    <t>[自動表示]</t>
    <rPh sb="1" eb="3">
      <t>ジドウ</t>
    </rPh>
    <rPh sb="3" eb="5">
      <t>ヒョウジ</t>
    </rPh>
    <phoneticPr fontId="34"/>
  </si>
  <si>
    <r>
      <t xml:space="preserve">記載事項
</t>
    </r>
    <r>
      <rPr>
        <sz val="7"/>
        <color rgb="FF000000"/>
        <rFont val="ＭＳ 明朝"/>
        <family val="1"/>
        <charset val="128"/>
      </rPr>
      <t>　</t>
    </r>
    <r>
      <rPr>
        <sz val="8"/>
        <color rgb="FF000000"/>
        <rFont val="ＭＳ 明朝"/>
        <family val="1"/>
        <charset val="128"/>
      </rPr>
      <t>【記載の仕方　総合評価方式様式関係記載留意事項　§３、４、５】</t>
    </r>
    <rPh sb="0" eb="2">
      <t>キサイ</t>
    </rPh>
    <rPh sb="2" eb="4">
      <t>ジコウ</t>
    </rPh>
    <phoneticPr fontId="34"/>
  </si>
  <si>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4"/>
  </si>
  <si>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4"/>
  </si>
  <si>
    <t>配置予定技術者</t>
    <rPh sb="0" eb="2">
      <t>ハイチ</t>
    </rPh>
    <rPh sb="2" eb="4">
      <t>ヨテイ</t>
    </rPh>
    <rPh sb="4" eb="7">
      <t>ギジュツシャ</t>
    </rPh>
    <phoneticPr fontId="34"/>
  </si>
  <si>
    <t>現場代理人</t>
    <rPh sb="0" eb="2">
      <t>ゲンバ</t>
    </rPh>
    <rPh sb="2" eb="5">
      <t>ダイリニン</t>
    </rPh>
    <phoneticPr fontId="34"/>
  </si>
  <si>
    <t>：1でない場合、若手・女性0点。</t>
    <rPh sb="5" eb="7">
      <t>バアイ</t>
    </rPh>
    <rPh sb="8" eb="10">
      <t>ワカテ</t>
    </rPh>
    <rPh sb="11" eb="13">
      <t>ジョセイ</t>
    </rPh>
    <rPh sb="14" eb="15">
      <t>テン</t>
    </rPh>
    <phoneticPr fontId="34"/>
  </si>
  <si>
    <t>【上位点】直前の5年度間連続して国・県・市町村いずれかの除雪業務と維持補修業務の履行実績がある場合。又は過去5年度以内に福島県道路除雪表彰事業により感謝状を受けた場合。</t>
    <phoneticPr fontId="34"/>
  </si>
  <si>
    <t>県と国、市町村の別</t>
    <rPh sb="0" eb="1">
      <t>ケン</t>
    </rPh>
    <rPh sb="2" eb="3">
      <t>クニ</t>
    </rPh>
    <rPh sb="4" eb="7">
      <t>シチョウソン</t>
    </rPh>
    <rPh sb="8" eb="9">
      <t>ベツ</t>
    </rPh>
    <phoneticPr fontId="34"/>
  </si>
  <si>
    <t>県管理施設</t>
    <rPh sb="0" eb="1">
      <t>ケン</t>
    </rPh>
    <rPh sb="1" eb="3">
      <t>カンリ</t>
    </rPh>
    <rPh sb="3" eb="5">
      <t>シセツ</t>
    </rPh>
    <phoneticPr fontId="34"/>
  </si>
  <si>
    <t>国、市町村管理施設</t>
    <rPh sb="0" eb="1">
      <t>クニ</t>
    </rPh>
    <rPh sb="2" eb="5">
      <t>シチョウソン</t>
    </rPh>
    <rPh sb="5" eb="7">
      <t>カンリ</t>
    </rPh>
    <rPh sb="7" eb="9">
      <t>シセツ</t>
    </rPh>
    <phoneticPr fontId="34"/>
  </si>
  <si>
    <t>-</t>
    <phoneticPr fontId="34"/>
  </si>
  <si>
    <r>
      <t xml:space="preserve">
配置技術者の施工能力
</t>
    </r>
    <r>
      <rPr>
        <sz val="10"/>
        <rFont val="ＭＳ 明朝"/>
        <family val="1"/>
        <charset val="128"/>
      </rPr>
      <t>（同種・類似工事の施工実績）
（注１）</t>
    </r>
    <rPh sb="30" eb="31">
      <t>チュウ</t>
    </rPh>
    <phoneticPr fontId="34"/>
  </si>
  <si>
    <r>
      <t xml:space="preserve">
配置技術者の工事成績
</t>
    </r>
    <r>
      <rPr>
        <sz val="10"/>
        <color rgb="FF000000"/>
        <rFont val="ＭＳ 明朝"/>
        <family val="1"/>
        <charset val="128"/>
      </rPr>
      <t>（80点以上の工事成績が対象）</t>
    </r>
    <rPh sb="8" eb="10">
      <t>コウジ</t>
    </rPh>
    <rPh sb="10" eb="12">
      <t>セイセキ</t>
    </rPh>
    <phoneticPr fontId="18"/>
  </si>
  <si>
    <t>※選択項目について、３項目以上選択された場合、入力された内容で加算点が高い順に２項目採用し、２番目の点数が２項目ある場合は
　上に入力されている順に採用する。</t>
    <phoneticPr fontId="34"/>
  </si>
  <si>
    <t>2：OK</t>
    <phoneticPr fontId="34"/>
  </si>
  <si>
    <r>
      <rPr>
        <sz val="16"/>
        <color theme="1"/>
        <rFont val="ＭＳ ゴシック"/>
        <family val="3"/>
        <charset val="128"/>
      </rPr>
      <t>様式第１号</t>
    </r>
    <r>
      <rPr>
        <sz val="16"/>
        <color theme="1"/>
        <rFont val="ＭＳ 明朝"/>
        <family val="1"/>
        <charset val="128"/>
      </rPr>
      <t>（第７条関係）</t>
    </r>
    <phoneticPr fontId="34"/>
  </si>
  <si>
    <t>技 術 提 案 書</t>
    <phoneticPr fontId="34"/>
  </si>
  <si>
    <t>住所</t>
    <phoneticPr fontId="34"/>
  </si>
  <si>
    <r>
      <t>①　企業の技術力及び貢献度（実績・経験等）</t>
    </r>
    <r>
      <rPr>
        <sz val="14"/>
        <rFont val="ＭＳ 明朝"/>
        <family val="1"/>
        <charset val="128"/>
      </rPr>
      <t>（特別簡易型・復旧型・復興型）</t>
    </r>
    <phoneticPr fontId="34"/>
  </si>
  <si>
    <t>　　（様式第１１号－１）</t>
    <rPh sb="8" eb="9">
      <t>ゴウ</t>
    </rPh>
    <phoneticPr fontId="34"/>
  </si>
  <si>
    <r>
      <t>①　企業の技術力及び貢献度（実績・経験等）</t>
    </r>
    <r>
      <rPr>
        <sz val="14"/>
        <rFont val="ＭＳ 明朝"/>
        <family val="1"/>
        <charset val="128"/>
      </rPr>
      <t>（地域密着型）</t>
    </r>
    <phoneticPr fontId="34"/>
  </si>
  <si>
    <t>　　（様式第１１号－２）</t>
    <rPh sb="8" eb="9">
      <t>ゴウ</t>
    </rPh>
    <phoneticPr fontId="34"/>
  </si>
  <si>
    <t>□　特別簡易型・復旧型・復興型</t>
    <phoneticPr fontId="34"/>
  </si>
  <si>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4"/>
  </si>
  <si>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4"/>
  </si>
  <si>
    <t>同一市町村内での公共工事の実績　</t>
    <phoneticPr fontId="34"/>
  </si>
  <si>
    <t>※記名ない場合、配置技術者の全ての項目を評価しない（０点）</t>
    <phoneticPr fontId="34"/>
  </si>
  <si>
    <t>ふくしまＭＥ</t>
    <phoneticPr fontId="34"/>
  </si>
  <si>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4"/>
  </si>
  <si>
    <t>[選択]</t>
    <phoneticPr fontId="34"/>
  </si>
  <si>
    <r>
      <t>氏　名</t>
    </r>
    <r>
      <rPr>
        <sz val="6"/>
        <color rgb="FF000000"/>
        <rFont val="ＭＳ 明朝"/>
        <family val="1"/>
        <charset val="128"/>
      </rPr>
      <t xml:space="preserve"> </t>
    </r>
    <phoneticPr fontId="34"/>
  </si>
  <si>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4"/>
  </si>
  <si>
    <t>【下位点】過去3年以内に、国・県・市町村いずれかの除雪業務又は維持補修業務の履行実績（除草、清掃等を除く）がある場合。</t>
    <phoneticPr fontId="34"/>
  </si>
  <si>
    <t>※（注１）：発注種別が建築工事、電気設備工事、暖冷房衛生設備工事の場合、評価対象期間は過去15年以内です。</t>
    <rPh sb="2" eb="3">
      <t>チュウ</t>
    </rPh>
    <rPh sb="13" eb="15">
      <t>コウジ</t>
    </rPh>
    <rPh sb="20" eb="22">
      <t>コウジ</t>
    </rPh>
    <rPh sb="30" eb="32">
      <t>コウジ</t>
    </rPh>
    <rPh sb="38" eb="40">
      <t>タイショウ</t>
    </rPh>
    <phoneticPr fontId="34"/>
  </si>
  <si>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4"/>
  </si>
  <si>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4"/>
  </si>
  <si>
    <r>
      <t xml:space="preserve">配置期間
</t>
    </r>
    <r>
      <rPr>
        <sz val="10"/>
        <color rgb="FF000000"/>
        <rFont val="ＭＳ 明朝"/>
        <family val="1"/>
        <charset val="128"/>
      </rPr>
      <t>(入力例:R4.5.1～R5.3.31)</t>
    </r>
    <rPh sb="0" eb="2">
      <t>ハイチ</t>
    </rPh>
    <rPh sb="2" eb="4">
      <t>キカン</t>
    </rPh>
    <rPh sb="6" eb="8">
      <t>ニュウリョク</t>
    </rPh>
    <phoneticPr fontId="34"/>
  </si>
  <si>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4"/>
  </si>
  <si>
    <t>入札公告と合っているか</t>
    <rPh sb="0" eb="2">
      <t>ニュウサツ</t>
    </rPh>
    <rPh sb="2" eb="4">
      <t>コウコク</t>
    </rPh>
    <rPh sb="5" eb="6">
      <t>ア</t>
    </rPh>
    <phoneticPr fontId="34"/>
  </si>
  <si>
    <t>入札公告と合っているか
２桁、５桁、４桁となっているか</t>
    <rPh sb="0" eb="2">
      <t>ニュウサツ</t>
    </rPh>
    <rPh sb="2" eb="4">
      <t>コウコク</t>
    </rPh>
    <rPh sb="5" eb="6">
      <t>ア</t>
    </rPh>
    <rPh sb="13" eb="14">
      <t>ケタ</t>
    </rPh>
    <rPh sb="16" eb="17">
      <t>ケタ</t>
    </rPh>
    <rPh sb="19" eb="20">
      <t>ケタ</t>
    </rPh>
    <phoneticPr fontId="34"/>
  </si>
  <si>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4"/>
  </si>
  <si>
    <t>配置予定技術者又は現場代理人として配置する場合</t>
    <phoneticPr fontId="34"/>
  </si>
  <si>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4"/>
  </si>
  <si>
    <t>「県管理施設」又は「国、市町村管理施設」を選択する
↓
（G54セル）</t>
    <phoneticPr fontId="34"/>
  </si>
  <si>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</si>
  <si>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
（G94セル）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phoneticPr fontId="34"/>
  </si>
  <si>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phoneticPr fontId="18"/>
  </si>
  <si>
    <r>
      <t xml:space="preserve">工事概要
</t>
    </r>
    <r>
      <rPr>
        <sz val="9"/>
        <color rgb="FF000000"/>
        <rFont val="ＭＳ 明朝"/>
        <family val="1"/>
        <charset val="128"/>
      </rPr>
      <t>（同種･類似工事と判断可能な工種、数量等）</t>
    </r>
    <phoneticPr fontId="34"/>
  </si>
  <si>
    <t>工事成績
[選択]</t>
    <phoneticPr fontId="34"/>
  </si>
  <si>
    <t>5：OK</t>
    <phoneticPr fontId="34"/>
  </si>
  <si>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4"/>
  </si>
  <si>
    <t>令和○年○月○日</t>
    <rPh sb="0" eb="2">
      <t>レイワ</t>
    </rPh>
    <rPh sb="3" eb="4">
      <t>ネン</t>
    </rPh>
    <rPh sb="5" eb="6">
      <t>ガツ</t>
    </rPh>
    <rPh sb="7" eb="8">
      <t>ニチ</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</si>
</sst>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9"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6"/>
      <color rgb="FF000000"/>
      <name val="ＭＳ 明朝"/>
      <family val="1"/>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sz val="9"/>
      <name val="ＭＳ 明朝"/>
      <family val="1"/>
      <charset val="128"/>
    </font>
    <font>
      <sz val="9"/>
      <color theme="1"/>
      <name val="ＭＳ Ｐゴシック"/>
      <family val="3"/>
      <charset val="128"/>
      <scheme val="minor"/>
    </font>
    <font>
      <sz val="16"/>
      <color theme="1"/>
      <name val="ＭＳ Ｐゴシック"/>
      <family val="3"/>
      <charset val="128"/>
    </font>
    <font>
      <b/>
      <sz val="11"/>
      <color rgb="FFFF0000"/>
      <name val="ＭＳ Ｐゴシック"/>
      <family val="3"/>
      <charset val="128"/>
    </font>
    <font>
      <sz val="12"/>
      <color theme="1"/>
      <name val="ＭＳ Ｐゴシック"/>
      <family val="3"/>
      <charset val="128"/>
    </font>
    <font>
      <b/>
      <sz val="11"/>
      <color rgb="FF000000"/>
      <name val="ＭＳ Ｐゴシック"/>
      <family val="3"/>
      <charset val="128"/>
    </font>
    <font>
      <sz val="11"/>
      <color theme="0"/>
      <name val="ＭＳ Ｐゴシック"/>
      <family val="3"/>
      <charset val="128"/>
      <scheme val="minor"/>
    </font>
    <font>
      <b/>
      <sz val="12"/>
      <color theme="1"/>
      <name val="ＭＳ Ｐゴシック"/>
      <family val="3"/>
      <charset val="128"/>
    </font>
    <font>
      <sz val="12"/>
      <color theme="1"/>
      <name val="ＭＳ Ｐゴシック"/>
      <family val="3"/>
      <charset val="128"/>
      <scheme val="minor"/>
    </font>
    <font>
      <sz val="11"/>
      <name val="ＭＳ ゴシック"/>
      <family val="3"/>
      <charset val="128"/>
    </font>
    <font>
      <sz val="10"/>
      <color rgb="FF000000"/>
      <name val="ＭＳ Ｐゴシック"/>
      <family val="3"/>
      <charset val="128"/>
      <scheme val="minor"/>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sz val="10"/>
      <color rgb="FF000000"/>
      <name val="ＭＳ ゴシック"/>
      <family val="3"/>
      <charset val="128"/>
    </font>
    <font>
      <sz val="10.5"/>
      <name val="ＭＳ Ｐ明朝"/>
      <family val="1"/>
      <charset val="128"/>
    </font>
    <font>
      <sz val="9"/>
      <name val="ＭＳ Ｐ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00"/>
        <bgColor indexed="64"/>
      </patternFill>
    </fill>
    <fill>
      <patternFill patternType="solid">
        <fgColor rgb="FFFFFF99"/>
        <bgColor rgb="FF000000"/>
      </patternFill>
    </fill>
    <fill>
      <patternFill patternType="solid">
        <fgColor theme="0" tint="-0.34998626667073579"/>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diagonalUp="1">
      <left style="medium">
        <color indexed="64"/>
      </left>
      <right/>
      <top style="dotted">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mediumDashed">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medium">
        <color indexed="64"/>
      </right>
      <top style="medium">
        <color indexed="64"/>
      </top>
      <bottom style="medium">
        <color indexed="64"/>
      </bottom>
      <diagonal style="hair">
        <color indexed="64"/>
      </diagonal>
    </border>
    <border>
      <left style="thin">
        <color indexed="64"/>
      </left>
      <right style="thin">
        <color indexed="64"/>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right style="thin">
        <color indexed="64"/>
      </right>
      <top style="thin">
        <color indexed="64"/>
      </top>
      <bottom style="mediumDashed">
        <color indexed="64"/>
      </bottom>
      <diagonal/>
    </border>
    <border>
      <left/>
      <right style="hair">
        <color indexed="64"/>
      </right>
      <top style="medium">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style="thin">
        <color indexed="64"/>
      </right>
      <top/>
      <bottom style="dotted">
        <color indexed="64"/>
      </bottom>
      <diagonal style="thin">
        <color indexed="64"/>
      </diagonal>
    </border>
    <border>
      <left/>
      <right style="thin">
        <color indexed="64"/>
      </right>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bottom style="thin">
        <color indexed="64"/>
      </bottom>
      <diagonal/>
    </border>
    <border>
      <left style="thin">
        <color auto="1"/>
      </left>
      <right style="thin">
        <color indexed="64"/>
      </right>
      <top/>
      <bottom style="medium">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94">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29" fillId="0" borderId="10" xfId="0" applyFont="1" applyBorder="1" applyAlignment="1">
      <alignment vertical="center" wrapText="1"/>
    </xf>
    <xf numFmtId="0" fontId="49" fillId="0" borderId="10" xfId="0" applyFont="1" applyBorder="1" applyAlignment="1">
      <alignment horizontal="center" vertical="center" wrapText="1"/>
    </xf>
    <xf numFmtId="0" fontId="29" fillId="0" borderId="18" xfId="0" applyFont="1" applyBorder="1" applyAlignment="1">
      <alignment vertical="center" wrapText="1"/>
    </xf>
    <xf numFmtId="0" fontId="49" fillId="0" borderId="18" xfId="0" applyFont="1" applyBorder="1" applyAlignment="1">
      <alignment horizontal="center" vertical="center" wrapText="1"/>
    </xf>
    <xf numFmtId="0" fontId="19" fillId="0" borderId="10" xfId="0" applyFont="1" applyBorder="1" applyAlignment="1">
      <alignment horizontal="center" vertical="center"/>
    </xf>
    <xf numFmtId="0" fontId="29" fillId="0" borderId="68"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8" xfId="0" applyFont="1" applyBorder="1" applyAlignment="1">
      <alignment horizontal="center" vertical="center" wrapText="1"/>
    </xf>
    <xf numFmtId="0" fontId="29" fillId="0" borderId="14" xfId="0" applyFont="1" applyBorder="1" applyAlignment="1">
      <alignment vertical="center" wrapText="1"/>
    </xf>
    <xf numFmtId="0" fontId="29" fillId="0" borderId="21" xfId="0" applyFont="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vertical="center" wrapText="1"/>
    </xf>
    <xf numFmtId="0" fontId="29" fillId="0" borderId="23" xfId="0" applyFont="1" applyBorder="1" applyAlignment="1">
      <alignment vertical="center" wrapText="1"/>
    </xf>
    <xf numFmtId="0" fontId="53" fillId="0" borderId="13" xfId="0" applyFont="1" applyBorder="1" applyAlignment="1">
      <alignment horizontal="right" vertical="center"/>
    </xf>
    <xf numFmtId="0" fontId="19" fillId="0" borderId="28" xfId="0" applyFont="1" applyBorder="1">
      <alignment vertical="center"/>
    </xf>
    <xf numFmtId="0" fontId="19" fillId="0" borderId="0" xfId="0" applyFont="1" applyAlignment="1">
      <alignment horizontal="center" vertical="center"/>
    </xf>
    <xf numFmtId="176" fontId="19" fillId="0" borderId="10" xfId="0" applyNumberFormat="1" applyFont="1" applyBorder="1">
      <alignment vertical="center"/>
    </xf>
    <xf numFmtId="176" fontId="41" fillId="0" borderId="10" xfId="0" applyNumberFormat="1" applyFont="1" applyBorder="1" applyAlignment="1">
      <alignment horizontal="right" vertical="center" wrapText="1"/>
    </xf>
    <xf numFmtId="0" fontId="28" fillId="0" borderId="21" xfId="0" applyFont="1" applyBorder="1" applyAlignment="1">
      <alignment horizontal="left" vertical="center" wrapText="1"/>
    </xf>
    <xf numFmtId="0" fontId="0" fillId="0" borderId="10" xfId="0" applyBorder="1">
      <alignment vertical="center"/>
    </xf>
    <xf numFmtId="0" fontId="0" fillId="0" borderId="0" xfId="0">
      <alignment vertical="center"/>
    </xf>
    <xf numFmtId="0" fontId="27" fillId="0" borderId="0" xfId="0" applyFont="1" applyAlignment="1">
      <alignment horizontal="right" vertical="top"/>
    </xf>
    <xf numFmtId="0" fontId="32" fillId="0" borderId="0" xfId="0" applyFont="1" applyAlignment="1">
      <alignment horizontal="left" vertical="top" wrapText="1"/>
    </xf>
    <xf numFmtId="178" fontId="30" fillId="0" borderId="27" xfId="0" applyNumberFormat="1" applyFont="1" applyBorder="1">
      <alignment vertical="center"/>
    </xf>
    <xf numFmtId="0" fontId="20" fillId="0" borderId="0" xfId="0" applyFont="1" applyAlignment="1">
      <alignment vertical="center" wrapText="1"/>
    </xf>
    <xf numFmtId="0" fontId="46" fillId="0" borderId="0" xfId="0" applyFont="1" applyAlignment="1">
      <alignment horizontal="right" vertical="center"/>
    </xf>
    <xf numFmtId="0" fontId="39" fillId="0" borderId="10" xfId="0" applyFont="1" applyBorder="1" applyAlignment="1">
      <alignment horizontal="center" vertical="center" wrapText="1"/>
    </xf>
    <xf numFmtId="0" fontId="38" fillId="33" borderId="10" xfId="0" applyFont="1" applyFill="1" applyBorder="1" applyAlignment="1">
      <alignment horizontal="center" vertical="center" shrinkToFit="1"/>
    </xf>
    <xf numFmtId="177" fontId="0" fillId="0" borderId="18" xfId="0" applyNumberFormat="1" applyBorder="1" applyAlignment="1">
      <alignment horizontal="center" vertical="center"/>
    </xf>
    <xf numFmtId="0" fontId="22" fillId="0" borderId="0" xfId="0" applyFont="1" applyAlignment="1">
      <alignment horizontal="center" vertical="center" wrapText="1"/>
    </xf>
    <xf numFmtId="0" fontId="45" fillId="0" borderId="10" xfId="0" applyFont="1" applyBorder="1" applyAlignment="1">
      <alignment horizontal="center" vertical="center" wrapText="1"/>
    </xf>
    <xf numFmtId="0" fontId="19" fillId="0" borderId="53" xfId="0" applyFont="1" applyBorder="1">
      <alignment vertical="center"/>
    </xf>
    <xf numFmtId="0" fontId="19" fillId="0" borderId="12" xfId="0" applyFont="1" applyBorder="1">
      <alignment vertical="center"/>
    </xf>
    <xf numFmtId="0" fontId="39" fillId="0" borderId="11" xfId="0" applyFont="1" applyBorder="1" applyAlignment="1">
      <alignment horizontal="left" vertical="top" wrapText="1"/>
    </xf>
    <xf numFmtId="0" fontId="41" fillId="0" borderId="10" xfId="0" applyFont="1" applyBorder="1" applyAlignment="1">
      <alignment horizontal="center" vertical="center" wrapText="1"/>
    </xf>
    <xf numFmtId="177" fontId="19" fillId="0" borderId="10" xfId="0" applyNumberFormat="1" applyFont="1" applyBorder="1">
      <alignment vertical="center"/>
    </xf>
    <xf numFmtId="177" fontId="41" fillId="0" borderId="10" xfId="0" applyNumberFormat="1" applyFont="1" applyBorder="1" applyAlignment="1">
      <alignment horizontal="right" vertical="center" wrapText="1"/>
    </xf>
    <xf numFmtId="0" fontId="39" fillId="0" borderId="0" xfId="0" applyFont="1" applyAlignment="1">
      <alignment horizontal="left" vertical="top" wrapText="1"/>
    </xf>
    <xf numFmtId="0" fontId="19" fillId="0" borderId="14" xfId="0" applyFont="1" applyBorder="1">
      <alignment vertical="center"/>
    </xf>
    <xf numFmtId="177" fontId="41" fillId="0" borderId="0" xfId="0" applyNumberFormat="1" applyFont="1" applyAlignment="1">
      <alignment horizontal="right" vertical="center" wrapText="1"/>
    </xf>
    <xf numFmtId="0" fontId="19" fillId="0" borderId="26" xfId="0" applyFont="1" applyBorder="1">
      <alignment vertical="center"/>
    </xf>
    <xf numFmtId="0" fontId="19" fillId="0" borderId="17" xfId="0" applyFont="1" applyBorder="1">
      <alignment vertical="center"/>
    </xf>
    <xf numFmtId="0" fontId="23" fillId="0" borderId="70" xfId="0" applyFont="1" applyBorder="1" applyAlignment="1">
      <alignment horizontal="center" vertical="center" wrapText="1"/>
    </xf>
    <xf numFmtId="0" fontId="0" fillId="0" borderId="10" xfId="0" applyBorder="1" applyAlignment="1">
      <alignment horizontal="left" vertical="center" shrinkToFit="1"/>
    </xf>
    <xf numFmtId="177" fontId="0" fillId="0" borderId="10" xfId="0" applyNumberFormat="1" applyBorder="1">
      <alignment vertical="center"/>
    </xf>
    <xf numFmtId="0" fontId="0" fillId="0" borderId="0" xfId="0" applyAlignment="1">
      <alignment horizontal="left" vertical="center" shrinkToFit="1"/>
    </xf>
    <xf numFmtId="177" fontId="0" fillId="0" borderId="0" xfId="0" applyNumberFormat="1">
      <alignment vertical="center"/>
    </xf>
    <xf numFmtId="0" fontId="41" fillId="0" borderId="0" xfId="0" applyFont="1" applyAlignment="1">
      <alignment horizontal="center" vertical="center" wrapText="1"/>
    </xf>
    <xf numFmtId="177" fontId="19" fillId="0" borderId="0" xfId="0" applyNumberFormat="1" applyFont="1">
      <alignment vertical="center"/>
    </xf>
    <xf numFmtId="177" fontId="19" fillId="0" borderId="0" xfId="0" applyNumberFormat="1" applyFont="1" applyAlignment="1">
      <alignment horizontal="right" vertical="center"/>
    </xf>
    <xf numFmtId="0" fontId="19" fillId="0" borderId="20" xfId="0" applyFont="1" applyBorder="1">
      <alignment vertical="center"/>
    </xf>
    <xf numFmtId="0" fontId="25" fillId="0" borderId="0" xfId="0" applyFont="1" applyAlignment="1">
      <alignment horizontal="left" vertical="top" wrapText="1"/>
    </xf>
    <xf numFmtId="0" fontId="19" fillId="0" borderId="25" xfId="0" applyFont="1" applyBorder="1">
      <alignment vertical="center"/>
    </xf>
    <xf numFmtId="0" fontId="40" fillId="0" borderId="0" xfId="0" applyFont="1">
      <alignment vertical="center"/>
    </xf>
    <xf numFmtId="181" fontId="19" fillId="0" borderId="23" xfId="0" applyNumberFormat="1" applyFont="1" applyBorder="1">
      <alignment vertical="center"/>
    </xf>
    <xf numFmtId="181" fontId="42" fillId="0" borderId="23" xfId="0" applyNumberFormat="1" applyFont="1" applyBorder="1" applyAlignment="1">
      <alignment horizontal="right" vertical="center" wrapText="1"/>
    </xf>
    <xf numFmtId="0" fontId="41" fillId="0" borderId="0" xfId="0" applyFont="1" applyAlignment="1">
      <alignment vertical="center" wrapText="1"/>
    </xf>
    <xf numFmtId="181" fontId="19" fillId="0" borderId="76" xfId="0" applyNumberFormat="1" applyFont="1" applyBorder="1">
      <alignment vertical="center"/>
    </xf>
    <xf numFmtId="181" fontId="42" fillId="0" borderId="49" xfId="0" applyNumberFormat="1" applyFont="1" applyBorder="1" applyAlignment="1">
      <alignment horizontal="right" vertical="center" wrapText="1"/>
    </xf>
    <xf numFmtId="181" fontId="19" fillId="0" borderId="19" xfId="0" applyNumberFormat="1" applyFont="1" applyBorder="1">
      <alignment vertical="center"/>
    </xf>
    <xf numFmtId="0" fontId="48" fillId="0" borderId="0" xfId="0" applyFont="1">
      <alignment vertical="center"/>
    </xf>
    <xf numFmtId="181" fontId="19" fillId="0" borderId="50" xfId="0" applyNumberFormat="1" applyFont="1" applyBorder="1">
      <alignment vertical="center"/>
    </xf>
    <xf numFmtId="181" fontId="42"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176" fontId="19" fillId="0" borderId="0" xfId="0" applyNumberFormat="1" applyFont="1">
      <alignment vertical="center"/>
    </xf>
    <xf numFmtId="0" fontId="19" fillId="0" borderId="0" xfId="0" applyFont="1" applyAlignment="1">
      <alignment horizontal="left" vertical="center"/>
    </xf>
    <xf numFmtId="0" fontId="42" fillId="0" borderId="0" xfId="0" applyFont="1">
      <alignment vertical="center"/>
    </xf>
    <xf numFmtId="0" fontId="0" fillId="0" borderId="12" xfId="0" applyBorder="1">
      <alignment vertical="center"/>
    </xf>
    <xf numFmtId="0" fontId="0" fillId="0" borderId="25" xfId="0" applyBorder="1">
      <alignment vertical="center"/>
    </xf>
    <xf numFmtId="0" fontId="39" fillId="0" borderId="0" xfId="0" applyFont="1" applyAlignment="1">
      <alignment vertical="top" wrapText="1"/>
    </xf>
    <xf numFmtId="0" fontId="28" fillId="0" borderId="10" xfId="0" applyFont="1" applyBorder="1" applyAlignment="1">
      <alignment horizontal="center" vertical="center" shrinkToFit="1"/>
    </xf>
    <xf numFmtId="0" fontId="28" fillId="0" borderId="26" xfId="0" applyFont="1" applyBorder="1" applyAlignment="1">
      <alignment horizontal="center" vertical="center" shrinkToFit="1"/>
    </xf>
    <xf numFmtId="0" fontId="19" fillId="0" borderId="32" xfId="0" applyFont="1" applyBorder="1" applyAlignment="1">
      <alignment horizontal="center" vertical="center" shrinkToFit="1"/>
    </xf>
    <xf numFmtId="0" fontId="27" fillId="0" borderId="32" xfId="0" applyFont="1" applyBorder="1" applyAlignment="1">
      <alignment vertical="center" shrinkToFit="1"/>
    </xf>
    <xf numFmtId="0" fontId="19" fillId="0" borderId="32" xfId="0" applyFont="1" applyBorder="1">
      <alignment vertical="center"/>
    </xf>
    <xf numFmtId="0" fontId="19" fillId="0" borderId="55" xfId="0" applyFont="1" applyBorder="1">
      <alignment vertical="center"/>
    </xf>
    <xf numFmtId="180" fontId="0" fillId="0" borderId="0" xfId="0" applyNumberFormat="1">
      <alignment vertical="center"/>
    </xf>
    <xf numFmtId="0" fontId="39" fillId="0" borderId="0" xfId="0" applyFont="1" applyAlignment="1">
      <alignment vertical="center" wrapText="1"/>
    </xf>
    <xf numFmtId="180" fontId="41" fillId="0" borderId="25" xfId="0" applyNumberFormat="1" applyFont="1" applyBorder="1" applyAlignment="1">
      <alignment vertical="center" wrapText="1"/>
    </xf>
    <xf numFmtId="180" fontId="42" fillId="0" borderId="0" xfId="0" applyNumberFormat="1" applyFont="1" applyAlignment="1">
      <alignment horizontal="right" vertical="center" wrapText="1"/>
    </xf>
    <xf numFmtId="0" fontId="52" fillId="0" borderId="10" xfId="0" applyFont="1" applyBorder="1" applyAlignment="1">
      <alignment horizontal="center" vertical="center" wrapText="1"/>
    </xf>
    <xf numFmtId="180" fontId="41" fillId="0" borderId="23" xfId="0" applyNumberFormat="1" applyFont="1" applyBorder="1" applyAlignment="1">
      <alignment vertical="center" wrapText="1"/>
    </xf>
    <xf numFmtId="180" fontId="42" fillId="0" borderId="23" xfId="0" applyNumberFormat="1" applyFont="1" applyBorder="1" applyAlignment="1">
      <alignment horizontal="right" vertical="center" wrapText="1"/>
    </xf>
    <xf numFmtId="0" fontId="56" fillId="0" borderId="18" xfId="0" applyFont="1" applyBorder="1" applyAlignment="1">
      <alignment horizontal="left" vertical="center" wrapText="1"/>
    </xf>
    <xf numFmtId="177" fontId="32" fillId="0" borderId="18" xfId="0" applyNumberFormat="1" applyFont="1" applyBorder="1" applyAlignment="1">
      <alignment horizontal="center" vertical="center"/>
    </xf>
    <xf numFmtId="0" fontId="44" fillId="0" borderId="10" xfId="0" applyFont="1" applyBorder="1" applyAlignment="1">
      <alignment vertical="center" wrapText="1"/>
    </xf>
    <xf numFmtId="0" fontId="44" fillId="0" borderId="33" xfId="0" applyFont="1" applyBorder="1" applyAlignment="1">
      <alignment vertical="center" wrapText="1"/>
    </xf>
    <xf numFmtId="0" fontId="44" fillId="0" borderId="34" xfId="0" applyFont="1" applyBorder="1" applyAlignment="1">
      <alignment vertical="center" wrapText="1"/>
    </xf>
    <xf numFmtId="0" fontId="44" fillId="0" borderId="11" xfId="0" applyFont="1" applyBorder="1" applyAlignment="1">
      <alignment vertical="center" wrapText="1"/>
    </xf>
    <xf numFmtId="0" fontId="44" fillId="0" borderId="10" xfId="0" applyFont="1" applyBorder="1" applyAlignment="1">
      <alignment horizontal="center" vertical="center" wrapText="1"/>
    </xf>
    <xf numFmtId="177" fontId="23" fillId="0" borderId="10" xfId="0" applyNumberFormat="1" applyFont="1" applyBorder="1" applyAlignment="1">
      <alignment horizontal="center" vertical="center" wrapText="1"/>
    </xf>
    <xf numFmtId="0" fontId="35" fillId="0" borderId="10" xfId="0" applyFont="1" applyBorder="1" applyAlignment="1">
      <alignment vertical="center" wrapText="1"/>
    </xf>
    <xf numFmtId="0" fontId="19" fillId="0" borderId="35" xfId="0" applyFont="1" applyBorder="1" applyAlignment="1">
      <alignment horizontal="center" vertical="center" shrinkToFit="1"/>
    </xf>
    <xf numFmtId="0" fontId="19" fillId="0" borderId="36" xfId="0" applyFont="1" applyBorder="1" applyAlignment="1">
      <alignment horizontal="right" vertical="center" shrinkToFit="1"/>
    </xf>
    <xf numFmtId="0" fontId="19" fillId="0" borderId="13" xfId="0" applyFont="1" applyBorder="1" applyAlignment="1">
      <alignment horizontal="right" vertical="center" shrinkToFit="1"/>
    </xf>
    <xf numFmtId="177" fontId="19" fillId="0" borderId="10" xfId="0" applyNumberFormat="1" applyFont="1" applyBorder="1" applyAlignment="1">
      <alignment horizontal="right" vertical="center" shrinkToFit="1"/>
    </xf>
    <xf numFmtId="180" fontId="35" fillId="0" borderId="10" xfId="0" applyNumberFormat="1" applyFont="1" applyBorder="1" applyAlignment="1">
      <alignment vertical="center" wrapText="1"/>
    </xf>
    <xf numFmtId="0" fontId="25" fillId="0" borderId="0" xfId="0" applyFont="1" applyAlignment="1">
      <alignment vertical="center" wrapText="1"/>
    </xf>
    <xf numFmtId="0" fontId="19" fillId="0" borderId="37" xfId="0" applyFont="1" applyBorder="1">
      <alignment vertical="center"/>
    </xf>
    <xf numFmtId="0" fontId="35" fillId="0" borderId="37" xfId="0" applyFont="1" applyBorder="1" applyAlignment="1">
      <alignment vertical="center" wrapText="1"/>
    </xf>
    <xf numFmtId="0" fontId="19" fillId="0" borderId="38" xfId="0" applyFont="1" applyBorder="1" applyAlignment="1">
      <alignment horizontal="center" vertical="center" shrinkToFit="1"/>
    </xf>
    <xf numFmtId="0" fontId="19" fillId="0" borderId="39" xfId="0" applyFont="1" applyBorder="1" applyAlignment="1">
      <alignment horizontal="right" vertical="center" shrinkToFit="1"/>
    </xf>
    <xf numFmtId="0" fontId="19" fillId="0" borderId="40" xfId="0" applyFont="1" applyBorder="1" applyAlignment="1">
      <alignment horizontal="right" vertical="center" shrinkToFit="1"/>
    </xf>
    <xf numFmtId="180" fontId="35" fillId="0" borderId="37" xfId="0" applyNumberFormat="1" applyFont="1" applyBorder="1" applyAlignment="1">
      <alignment vertical="center" wrapText="1"/>
    </xf>
    <xf numFmtId="0" fontId="25" fillId="0" borderId="0" xfId="0" applyFont="1" applyAlignment="1">
      <alignment horizontal="center" vertical="center" wrapText="1"/>
    </xf>
    <xf numFmtId="0" fontId="19" fillId="0" borderId="37" xfId="0" applyFont="1" applyBorder="1" applyAlignment="1">
      <alignment horizontal="right" vertical="center"/>
    </xf>
    <xf numFmtId="0" fontId="19" fillId="0" borderId="37" xfId="0" applyFont="1" applyBorder="1" applyAlignment="1">
      <alignment horizontal="right" vertical="center" shrinkToFit="1"/>
    </xf>
    <xf numFmtId="177" fontId="19" fillId="0" borderId="18" xfId="0" applyNumberFormat="1" applyFont="1" applyBorder="1" applyAlignment="1">
      <alignment horizontal="right" vertical="center" shrinkToFit="1"/>
    </xf>
    <xf numFmtId="0" fontId="35" fillId="0" borderId="20" xfId="0" applyFont="1" applyBorder="1" applyAlignment="1">
      <alignment vertical="center" wrapText="1"/>
    </xf>
    <xf numFmtId="177" fontId="19" fillId="0" borderId="41" xfId="0" applyNumberFormat="1" applyFont="1" applyBorder="1" applyAlignment="1">
      <alignment horizontal="right" vertical="center" shrinkToFit="1"/>
    </xf>
    <xf numFmtId="180" fontId="35" fillId="0" borderId="20" xfId="0" applyNumberFormat="1" applyFont="1" applyBorder="1" applyAlignment="1">
      <alignment vertical="center" wrapText="1"/>
    </xf>
    <xf numFmtId="0" fontId="23" fillId="0" borderId="0" xfId="0" applyFont="1" applyAlignment="1">
      <alignment vertical="center" wrapText="1"/>
    </xf>
    <xf numFmtId="0" fontId="26" fillId="0" borderId="30" xfId="0" applyFont="1" applyBorder="1" applyAlignment="1">
      <alignment horizontal="center" vertical="center" wrapText="1"/>
    </xf>
    <xf numFmtId="0" fontId="26" fillId="0" borderId="70" xfId="0" applyFont="1" applyBorder="1" applyAlignment="1">
      <alignment horizontal="center" vertical="center" wrapText="1"/>
    </xf>
    <xf numFmtId="177" fontId="26" fillId="0" borderId="10" xfId="0" applyNumberFormat="1" applyFont="1" applyBorder="1" applyAlignment="1">
      <alignment horizontal="center" vertical="center" wrapText="1"/>
    </xf>
    <xf numFmtId="177" fontId="26" fillId="33" borderId="10" xfId="0" applyNumberFormat="1" applyFont="1" applyFill="1" applyBorder="1" applyAlignment="1">
      <alignment horizontal="center" vertical="center" wrapText="1"/>
    </xf>
    <xf numFmtId="0" fontId="26" fillId="0" borderId="52" xfId="0" quotePrefix="1" applyFont="1" applyBorder="1" applyAlignment="1">
      <alignment horizontal="center" vertical="center" wrapText="1"/>
    </xf>
    <xf numFmtId="0" fontId="19" fillId="0" borderId="10" xfId="0" applyFont="1" applyBorder="1" applyAlignment="1">
      <alignment horizontal="center" vertical="center" wrapText="1"/>
    </xf>
    <xf numFmtId="0" fontId="48" fillId="0" borderId="18" xfId="0" applyFont="1" applyBorder="1" applyAlignment="1">
      <alignment horizontal="left" vertical="center"/>
    </xf>
    <xf numFmtId="0" fontId="42" fillId="0" borderId="25" xfId="0" applyFont="1" applyBorder="1">
      <alignment vertical="center"/>
    </xf>
    <xf numFmtId="58" fontId="42" fillId="0" borderId="10" xfId="0" applyNumberFormat="1" applyFont="1" applyBorder="1">
      <alignment vertical="center"/>
    </xf>
    <xf numFmtId="0" fontId="42" fillId="0" borderId="10" xfId="0" applyFont="1" applyBorder="1">
      <alignment vertical="center"/>
    </xf>
    <xf numFmtId="0" fontId="48" fillId="0" borderId="19" xfId="0" applyFont="1" applyBorder="1" applyAlignment="1">
      <alignment horizontal="left" vertical="center"/>
    </xf>
    <xf numFmtId="182" fontId="48" fillId="0" borderId="10" xfId="0" applyNumberFormat="1" applyFont="1" applyBorder="1" applyAlignment="1">
      <alignment horizontal="left" vertical="center"/>
    </xf>
    <xf numFmtId="0" fontId="48" fillId="0" borderId="10" xfId="0" applyFont="1" applyBorder="1" applyAlignment="1">
      <alignment horizontal="left" vertical="center"/>
    </xf>
    <xf numFmtId="179" fontId="48" fillId="0" borderId="10" xfId="0" applyNumberFormat="1" applyFont="1" applyBorder="1" applyAlignment="1">
      <alignment horizontal="center" vertical="center"/>
    </xf>
    <xf numFmtId="0" fontId="42" fillId="35" borderId="10" xfId="0" applyFont="1" applyFill="1" applyBorder="1" applyAlignment="1" applyProtection="1">
      <alignment horizontal="left" vertical="center"/>
      <protection locked="0"/>
    </xf>
    <xf numFmtId="0" fontId="42" fillId="0" borderId="10" xfId="0" applyFont="1" applyBorder="1" applyAlignment="1">
      <alignment vertical="center" wrapText="1"/>
    </xf>
    <xf numFmtId="0" fontId="48" fillId="0" borderId="10" xfId="0" applyFont="1" applyBorder="1">
      <alignment vertical="center"/>
    </xf>
    <xf numFmtId="0" fontId="48" fillId="0" borderId="0" xfId="0" applyFont="1" applyAlignment="1">
      <alignment horizontal="right" vertical="center"/>
    </xf>
    <xf numFmtId="177" fontId="48" fillId="0" borderId="10" xfId="0" applyNumberFormat="1" applyFont="1" applyBorder="1">
      <alignment vertical="center"/>
    </xf>
    <xf numFmtId="177" fontId="48" fillId="0" borderId="0" xfId="0" applyNumberFormat="1" applyFont="1">
      <alignment vertical="center"/>
    </xf>
    <xf numFmtId="0" fontId="41" fillId="0" borderId="0" xfId="0" applyFont="1" applyAlignment="1">
      <alignment horizontal="left" vertical="center"/>
    </xf>
    <xf numFmtId="0" fontId="47" fillId="0" borderId="0" xfId="0" applyFont="1" applyAlignment="1">
      <alignment horizontal="left" vertical="center"/>
    </xf>
    <xf numFmtId="0" fontId="59" fillId="0" borderId="0" xfId="0" applyFont="1">
      <alignment vertical="center"/>
    </xf>
    <xf numFmtId="0" fontId="60" fillId="34" borderId="10" xfId="0" applyFont="1" applyFill="1" applyBorder="1" applyAlignment="1">
      <alignment horizontal="center" vertical="center"/>
    </xf>
    <xf numFmtId="0" fontId="48" fillId="0" borderId="10" xfId="0" applyFont="1" applyBorder="1" applyAlignment="1">
      <alignment vertical="center" wrapText="1"/>
    </xf>
    <xf numFmtId="0" fontId="41" fillId="0" borderId="10" xfId="0" applyFont="1" applyBorder="1" applyAlignment="1">
      <alignment horizontal="left" vertical="center" wrapText="1"/>
    </xf>
    <xf numFmtId="0" fontId="26" fillId="37"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19" fillId="38" borderId="0" xfId="0" applyFont="1" applyFill="1">
      <alignment vertical="center"/>
    </xf>
    <xf numFmtId="0" fontId="62" fillId="38" borderId="0" xfId="0" applyFont="1" applyFill="1">
      <alignment vertical="center"/>
    </xf>
    <xf numFmtId="0" fontId="22" fillId="36" borderId="46" xfId="0" applyFont="1" applyFill="1" applyBorder="1" applyAlignment="1">
      <alignment horizontal="center" vertical="center" wrapText="1"/>
    </xf>
    <xf numFmtId="177" fontId="41" fillId="36" borderId="45" xfId="0" applyNumberFormat="1" applyFont="1" applyFill="1" applyBorder="1" applyAlignment="1">
      <alignment horizontal="right" vertical="center" wrapText="1"/>
    </xf>
    <xf numFmtId="177" fontId="42" fillId="36" borderId="65" xfId="0" applyNumberFormat="1" applyFont="1" applyFill="1" applyBorder="1" applyAlignment="1">
      <alignment horizontal="right" vertical="center" wrapText="1"/>
    </xf>
    <xf numFmtId="0" fontId="42" fillId="36" borderId="45" xfId="0" applyFont="1" applyFill="1" applyBorder="1" applyAlignment="1">
      <alignment horizontal="right" vertical="center" wrapText="1"/>
    </xf>
    <xf numFmtId="0" fontId="0" fillId="36" borderId="46" xfId="0" applyFill="1" applyBorder="1" applyAlignment="1">
      <alignment horizontal="center" vertical="center"/>
    </xf>
    <xf numFmtId="180" fontId="19" fillId="36" borderId="47" xfId="0" applyNumberFormat="1" applyFont="1" applyFill="1" applyBorder="1" applyAlignment="1">
      <alignment horizontal="right" vertical="center"/>
    </xf>
    <xf numFmtId="180" fontId="19" fillId="36" borderId="47" xfId="0" applyNumberFormat="1" applyFont="1" applyFill="1" applyBorder="1">
      <alignment vertical="center"/>
    </xf>
    <xf numFmtId="180" fontId="19" fillId="36" borderId="80" xfId="0" applyNumberFormat="1" applyFont="1" applyFill="1" applyBorder="1" applyAlignment="1">
      <alignment horizontal="right" vertical="center"/>
    </xf>
    <xf numFmtId="180" fontId="19" fillId="36" borderId="81" xfId="0" applyNumberFormat="1" applyFont="1" applyFill="1" applyBorder="1">
      <alignment vertical="center"/>
    </xf>
    <xf numFmtId="176" fontId="42" fillId="36" borderId="45" xfId="0" applyNumberFormat="1" applyFont="1" applyFill="1" applyBorder="1" applyAlignment="1">
      <alignment horizontal="right" vertical="center" wrapText="1"/>
    </xf>
    <xf numFmtId="0" fontId="63" fillId="34" borderId="10" xfId="0" applyFont="1" applyFill="1" applyBorder="1" applyAlignment="1">
      <alignment horizontal="left" vertical="center"/>
    </xf>
    <xf numFmtId="0" fontId="48" fillId="0" borderId="20" xfId="0" applyFont="1" applyBorder="1" applyAlignment="1">
      <alignment horizontal="left" vertical="center" wrapText="1"/>
    </xf>
    <xf numFmtId="0" fontId="19" fillId="0" borderId="20" xfId="0" applyFont="1" applyBorder="1" applyAlignment="1">
      <alignment horizontal="right" vertical="center"/>
    </xf>
    <xf numFmtId="177" fontId="23" fillId="33" borderId="10" xfId="0" applyNumberFormat="1" applyFont="1" applyFill="1" applyBorder="1" applyAlignment="1">
      <alignment horizontal="center" vertical="center" wrapText="1"/>
    </xf>
    <xf numFmtId="177" fontId="23" fillId="0" borderId="18" xfId="0" applyNumberFormat="1" applyFont="1" applyBorder="1" applyAlignment="1">
      <alignment horizontal="center" vertical="center" wrapTex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0" fillId="0" borderId="0" xfId="0" applyFont="1" applyAlignment="1">
      <alignment horizontal="left" vertical="center" wrapText="1"/>
    </xf>
    <xf numFmtId="176" fontId="23" fillId="0" borderId="10" xfId="0" applyNumberFormat="1" applyFont="1" applyBorder="1" applyAlignment="1">
      <alignment horizontal="center" vertical="center" wrapText="1"/>
    </xf>
    <xf numFmtId="0" fontId="55" fillId="0" borderId="0" xfId="0" applyFont="1">
      <alignment vertical="center"/>
    </xf>
    <xf numFmtId="0" fontId="38" fillId="0" borderId="0" xfId="0" applyFont="1" applyAlignment="1">
      <alignment horizontal="justify" vertical="center"/>
    </xf>
    <xf numFmtId="176" fontId="19" fillId="0" borderId="26" xfId="0" applyNumberFormat="1" applyFont="1" applyBorder="1">
      <alignment vertical="center"/>
    </xf>
    <xf numFmtId="0" fontId="50"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lignment vertical="center"/>
    </xf>
    <xf numFmtId="0" fontId="0" fillId="0" borderId="28" xfId="0" applyBorder="1">
      <alignment vertical="center"/>
    </xf>
    <xf numFmtId="0" fontId="19" fillId="0" borderId="10" xfId="0" applyFont="1" applyBorder="1" applyAlignment="1">
      <alignment vertical="center" shrinkToFit="1"/>
    </xf>
    <xf numFmtId="0" fontId="57" fillId="0" borderId="10" xfId="0" applyFont="1" applyBorder="1" applyAlignment="1">
      <alignment horizontal="center" vertical="center" wrapText="1"/>
    </xf>
    <xf numFmtId="182" fontId="41" fillId="0" borderId="0" xfId="0" applyNumberFormat="1" applyFont="1" applyAlignment="1">
      <alignment vertical="center" wrapText="1"/>
    </xf>
    <xf numFmtId="180" fontId="42" fillId="0" borderId="0" xfId="0" applyNumberFormat="1" applyFont="1" applyAlignment="1">
      <alignment horizontal="left" vertical="center"/>
    </xf>
    <xf numFmtId="180" fontId="0" fillId="36" borderId="45" xfId="0" applyNumberFormat="1" applyFill="1" applyBorder="1">
      <alignment vertical="center"/>
    </xf>
    <xf numFmtId="0" fontId="44" fillId="0" borderId="22" xfId="0" applyFont="1" applyBorder="1" applyAlignment="1">
      <alignment vertical="center" wrapText="1"/>
    </xf>
    <xf numFmtId="0" fontId="27" fillId="0" borderId="10" xfId="0" applyFont="1" applyBorder="1" applyAlignment="1">
      <alignment horizontal="center" vertical="center" wrapText="1"/>
    </xf>
    <xf numFmtId="0" fontId="27" fillId="0" borderId="42" xfId="0" applyFont="1" applyBorder="1" applyAlignment="1">
      <alignment horizontal="center" vertical="center" wrapText="1"/>
    </xf>
    <xf numFmtId="0" fontId="19" fillId="0" borderId="22" xfId="0" applyFont="1" applyBorder="1" applyAlignment="1">
      <alignment horizontal="left" vertical="center" shrinkToFit="1"/>
    </xf>
    <xf numFmtId="177" fontId="19" fillId="0" borderId="42" xfId="0" applyNumberFormat="1" applyFont="1" applyBorder="1">
      <alignment vertical="center"/>
    </xf>
    <xf numFmtId="177" fontId="19" fillId="0" borderId="37" xfId="0" applyNumberFormat="1" applyFont="1" applyBorder="1">
      <alignment vertical="center"/>
    </xf>
    <xf numFmtId="177" fontId="19" fillId="0" borderId="85" xfId="0" applyNumberFormat="1" applyFont="1" applyBorder="1">
      <alignment vertical="center"/>
    </xf>
    <xf numFmtId="177" fontId="19" fillId="0" borderId="86" xfId="0" applyNumberFormat="1" applyFont="1" applyBorder="1">
      <alignment vertical="center"/>
    </xf>
    <xf numFmtId="177" fontId="19" fillId="0" borderId="87" xfId="0" applyNumberFormat="1" applyFont="1" applyBorder="1">
      <alignment vertical="center"/>
    </xf>
    <xf numFmtId="177" fontId="19" fillId="0" borderId="41" xfId="0" applyNumberFormat="1" applyFont="1" applyBorder="1">
      <alignment vertical="center"/>
    </xf>
    <xf numFmtId="177" fontId="19" fillId="0" borderId="88" xfId="0" applyNumberFormat="1" applyFont="1" applyBorder="1">
      <alignment vertical="center"/>
    </xf>
    <xf numFmtId="177" fontId="23" fillId="33" borderId="18" xfId="0" applyNumberFormat="1" applyFont="1" applyFill="1" applyBorder="1" applyAlignment="1">
      <alignment horizontal="center" vertical="center" wrapText="1"/>
    </xf>
    <xf numFmtId="0" fontId="23" fillId="37" borderId="30" xfId="0" applyFont="1" applyFill="1" applyBorder="1" applyAlignment="1" applyProtection="1">
      <alignment horizontal="center" vertical="center" wrapText="1"/>
      <protection locked="0"/>
    </xf>
    <xf numFmtId="0" fontId="26" fillId="0" borderId="47" xfId="0" applyFont="1" applyBorder="1" applyAlignment="1">
      <alignment horizontal="center" vertical="center" wrapText="1"/>
    </xf>
    <xf numFmtId="176" fontId="23" fillId="0" borderId="90" xfId="0" applyNumberFormat="1" applyFont="1" applyBorder="1" applyAlignment="1">
      <alignment horizontal="center" vertical="center" wrapText="1"/>
    </xf>
    <xf numFmtId="0" fontId="19" fillId="0" borderId="45" xfId="0" applyFont="1" applyBorder="1">
      <alignment vertical="center"/>
    </xf>
    <xf numFmtId="180" fontId="19" fillId="0" borderId="10" xfId="0" applyNumberFormat="1" applyFont="1" applyBorder="1">
      <alignment vertical="center"/>
    </xf>
    <xf numFmtId="0" fontId="19" fillId="36" borderId="10" xfId="0" applyFont="1" applyFill="1" applyBorder="1">
      <alignment vertical="center"/>
    </xf>
    <xf numFmtId="180" fontId="19" fillId="36" borderId="12" xfId="0" applyNumberFormat="1" applyFont="1" applyFill="1" applyBorder="1" applyAlignment="1">
      <alignment horizontal="center" vertical="center"/>
    </xf>
    <xf numFmtId="0" fontId="24" fillId="0" borderId="0" xfId="0" applyFont="1" applyAlignment="1">
      <alignment horizontal="justify" vertical="center"/>
    </xf>
    <xf numFmtId="0" fontId="24" fillId="0" borderId="23" xfId="0" applyFont="1" applyBorder="1" applyAlignment="1">
      <alignment horizontal="right" vertical="center" wrapText="1"/>
    </xf>
    <xf numFmtId="0" fontId="53" fillId="0" borderId="23" xfId="0" applyFont="1" applyBorder="1">
      <alignment vertical="center"/>
    </xf>
    <xf numFmtId="0" fontId="66" fillId="0" borderId="0" xfId="0" applyFont="1">
      <alignment vertical="center"/>
    </xf>
    <xf numFmtId="0" fontId="23" fillId="0" borderId="48" xfId="0" applyFont="1" applyBorder="1" applyAlignment="1">
      <alignment horizontal="left" wrapText="1" shrinkToFit="1"/>
    </xf>
    <xf numFmtId="0" fontId="31" fillId="0" borderId="0" xfId="0" applyFont="1" applyAlignment="1">
      <alignment horizontal="center" vertical="center"/>
    </xf>
    <xf numFmtId="0" fontId="63" fillId="0" borderId="10" xfId="0" applyFont="1" applyBorder="1">
      <alignment vertical="center"/>
    </xf>
    <xf numFmtId="0" fontId="40" fillId="0" borderId="0" xfId="0" applyFont="1" applyAlignment="1">
      <alignment horizontal="right" vertical="center"/>
    </xf>
    <xf numFmtId="0" fontId="36" fillId="0" borderId="0" xfId="0" applyFont="1">
      <alignment vertical="center"/>
    </xf>
    <xf numFmtId="0" fontId="67" fillId="0" borderId="0" xfId="0" applyFont="1">
      <alignment vertical="center"/>
    </xf>
    <xf numFmtId="0" fontId="70" fillId="0" borderId="0" xfId="0" applyFont="1">
      <alignment vertical="center"/>
    </xf>
    <xf numFmtId="0" fontId="67" fillId="0" borderId="0" xfId="0" applyFont="1" applyAlignment="1">
      <alignment horizontal="left" vertical="center" indent="2"/>
    </xf>
    <xf numFmtId="0" fontId="70" fillId="0" borderId="0" xfId="0" applyFont="1" applyAlignment="1">
      <alignment horizontal="justify" vertical="center"/>
    </xf>
    <xf numFmtId="0" fontId="72" fillId="0" borderId="0" xfId="0" applyFont="1" applyAlignment="1">
      <alignment horizontal="right" vertical="center"/>
    </xf>
    <xf numFmtId="0" fontId="70" fillId="0" borderId="0" xfId="0" applyFont="1" applyAlignment="1">
      <alignment horizontal="left" vertical="center"/>
    </xf>
    <xf numFmtId="0" fontId="70" fillId="0" borderId="0" xfId="0" applyFont="1" applyAlignment="1">
      <alignment vertical="center" shrinkToFit="1"/>
    </xf>
    <xf numFmtId="0" fontId="73" fillId="0" borderId="0" xfId="0" applyFont="1">
      <alignment vertical="center"/>
    </xf>
    <xf numFmtId="0" fontId="74" fillId="0" borderId="0" xfId="0" applyFont="1">
      <alignment vertical="center"/>
    </xf>
    <xf numFmtId="0" fontId="67" fillId="0" borderId="0" xfId="0" applyFont="1" applyAlignment="1">
      <alignment horizontal="left" vertical="center"/>
    </xf>
    <xf numFmtId="0" fontId="45" fillId="0" borderId="0" xfId="0" applyFont="1">
      <alignment vertical="center"/>
    </xf>
    <xf numFmtId="0" fontId="67" fillId="0" borderId="0" xfId="0" applyFont="1" applyAlignment="1">
      <alignment horizontal="right" vertical="top"/>
    </xf>
    <xf numFmtId="0" fontId="75" fillId="0" borderId="0" xfId="0" applyFont="1" applyAlignment="1">
      <alignment horizontal="left" vertical="top" wrapText="1"/>
    </xf>
    <xf numFmtId="182" fontId="26" fillId="35" borderId="69" xfId="0" quotePrefix="1" applyNumberFormat="1" applyFont="1" applyFill="1" applyBorder="1" applyAlignment="1" applyProtection="1">
      <alignment horizontal="center" vertical="center" wrapText="1"/>
      <protection locked="0"/>
    </xf>
    <xf numFmtId="0" fontId="19" fillId="0" borderId="22" xfId="0" applyFont="1" applyBorder="1" applyAlignment="1">
      <alignment horizontal="right" vertical="center" shrinkToFit="1"/>
    </xf>
    <xf numFmtId="0" fontId="19" fillId="0" borderId="18" xfId="0" applyFont="1" applyBorder="1">
      <alignment vertical="center"/>
    </xf>
    <xf numFmtId="0" fontId="19" fillId="0" borderId="86" xfId="0" applyFont="1" applyBorder="1">
      <alignment vertical="center"/>
    </xf>
    <xf numFmtId="0" fontId="19" fillId="0" borderId="86" xfId="0" applyFont="1" applyBorder="1" applyAlignment="1">
      <alignment horizontal="right" vertical="center"/>
    </xf>
    <xf numFmtId="0" fontId="35" fillId="0" borderId="86" xfId="0" applyFont="1" applyBorder="1" applyAlignment="1">
      <alignment vertical="center" wrapText="1"/>
    </xf>
    <xf numFmtId="0" fontId="19" fillId="0" borderId="99" xfId="0" applyFont="1" applyBorder="1" applyAlignment="1">
      <alignment horizontal="center" vertical="center" shrinkToFit="1"/>
    </xf>
    <xf numFmtId="0" fontId="19" fillId="0" borderId="100" xfId="0" applyFont="1" applyBorder="1" applyAlignment="1">
      <alignment horizontal="right" vertical="center" shrinkToFit="1"/>
    </xf>
    <xf numFmtId="0" fontId="19" fillId="0" borderId="101" xfId="0" applyFont="1" applyBorder="1" applyAlignment="1">
      <alignment horizontal="right" vertical="center" shrinkToFit="1"/>
    </xf>
    <xf numFmtId="177" fontId="19" fillId="0" borderId="102" xfId="0" applyNumberFormat="1" applyFont="1" applyBorder="1" applyAlignment="1">
      <alignment horizontal="right" vertical="center" shrinkToFit="1"/>
    </xf>
    <xf numFmtId="0" fontId="35" fillId="0" borderId="18" xfId="0" applyFont="1" applyBorder="1" applyAlignment="1">
      <alignment vertical="center" wrapText="1"/>
    </xf>
    <xf numFmtId="0" fontId="19" fillId="0" borderId="103" xfId="0" applyFont="1" applyBorder="1" applyAlignment="1">
      <alignment horizontal="center" vertical="center" shrinkToFit="1"/>
    </xf>
    <xf numFmtId="0" fontId="19" fillId="0" borderId="104" xfId="0" applyFont="1" applyBorder="1" applyAlignment="1">
      <alignment horizontal="right" vertical="center" shrinkToFit="1"/>
    </xf>
    <xf numFmtId="0" fontId="19" fillId="0" borderId="16" xfId="0" applyFont="1" applyBorder="1" applyAlignment="1">
      <alignment horizontal="right" vertical="center" shrinkToFit="1"/>
    </xf>
    <xf numFmtId="177" fontId="19" fillId="0" borderId="105" xfId="0" applyNumberFormat="1" applyFont="1" applyBorder="1" applyAlignment="1">
      <alignment horizontal="right" vertical="center" shrinkToFit="1"/>
    </xf>
    <xf numFmtId="177" fontId="19" fillId="0" borderId="49" xfId="0" applyNumberFormat="1" applyFont="1" applyBorder="1" applyAlignment="1">
      <alignment horizontal="right" vertical="center" shrinkToFit="1"/>
    </xf>
    <xf numFmtId="0" fontId="19" fillId="0" borderId="49" xfId="0" applyFont="1" applyBorder="1">
      <alignment vertical="center"/>
    </xf>
    <xf numFmtId="177" fontId="19" fillId="0" borderId="107" xfId="0" applyNumberFormat="1" applyFont="1" applyBorder="1" applyAlignment="1">
      <alignment horizontal="right" vertical="center" shrinkToFit="1"/>
    </xf>
    <xf numFmtId="177" fontId="19" fillId="0" borderId="86" xfId="0" applyNumberFormat="1" applyFont="1" applyBorder="1" applyAlignment="1">
      <alignment horizontal="right" vertical="center" shrinkToFit="1"/>
    </xf>
    <xf numFmtId="180" fontId="35" fillId="0" borderId="18" xfId="0" applyNumberFormat="1" applyFont="1" applyBorder="1" applyAlignment="1">
      <alignment vertical="center" wrapText="1"/>
    </xf>
    <xf numFmtId="180" fontId="42" fillId="0" borderId="18" xfId="0" applyNumberFormat="1" applyFont="1" applyBorder="1" applyAlignment="1">
      <alignment vertical="center" wrapText="1"/>
    </xf>
    <xf numFmtId="180" fontId="42" fillId="0" borderId="20" xfId="0" applyNumberFormat="1" applyFont="1" applyBorder="1" applyAlignment="1">
      <alignment vertical="center" wrapText="1"/>
    </xf>
    <xf numFmtId="180" fontId="35" fillId="0" borderId="86" xfId="0" applyNumberFormat="1" applyFont="1" applyBorder="1" applyAlignment="1">
      <alignment vertical="center" wrapText="1"/>
    </xf>
    <xf numFmtId="180" fontId="42" fillId="0" borderId="86" xfId="0" applyNumberFormat="1" applyFont="1" applyBorder="1" applyAlignment="1">
      <alignment vertical="center" wrapText="1"/>
    </xf>
    <xf numFmtId="177" fontId="19" fillId="0" borderId="20" xfId="0" applyNumberFormat="1" applyFont="1" applyBorder="1">
      <alignment vertical="center"/>
    </xf>
    <xf numFmtId="177" fontId="19" fillId="0" borderId="108" xfId="0" applyNumberFormat="1" applyFont="1" applyBorder="1">
      <alignment vertical="center"/>
    </xf>
    <xf numFmtId="0" fontId="0" fillId="0" borderId="0" xfId="0" applyAlignment="1">
      <alignment vertical="top"/>
    </xf>
    <xf numFmtId="0" fontId="19" fillId="0" borderId="0" xfId="0" applyFont="1" applyAlignment="1">
      <alignment vertical="top"/>
    </xf>
    <xf numFmtId="0" fontId="42" fillId="0" borderId="0" xfId="0" applyFont="1" applyAlignment="1">
      <alignment vertical="top"/>
    </xf>
    <xf numFmtId="177" fontId="19" fillId="0" borderId="0" xfId="0" applyNumberFormat="1" applyFont="1" applyAlignment="1">
      <alignment vertical="top"/>
    </xf>
    <xf numFmtId="176" fontId="42" fillId="0" borderId="0" xfId="0" applyNumberFormat="1" applyFont="1" applyAlignment="1">
      <alignment horizontal="right" vertical="top" wrapText="1"/>
    </xf>
    <xf numFmtId="0" fontId="0" fillId="0" borderId="0" xfId="0" applyAlignment="1">
      <alignment horizontal="right" vertical="top"/>
    </xf>
    <xf numFmtId="0" fontId="19" fillId="0" borderId="10" xfId="0" applyFont="1" applyBorder="1" applyAlignment="1">
      <alignment horizontal="center" vertical="top"/>
    </xf>
    <xf numFmtId="0" fontId="19" fillId="0" borderId="110" xfId="0" applyFont="1" applyBorder="1" applyAlignment="1">
      <alignment horizontal="center" vertical="center"/>
    </xf>
    <xf numFmtId="0" fontId="19" fillId="0" borderId="76" xfId="0" applyFont="1" applyBorder="1" applyAlignment="1">
      <alignment horizontal="center" vertical="center"/>
    </xf>
    <xf numFmtId="0" fontId="19" fillId="0" borderId="101" xfId="0" applyFont="1" applyBorder="1">
      <alignment vertical="center"/>
    </xf>
    <xf numFmtId="0" fontId="19" fillId="0" borderId="106" xfId="0" applyFont="1" applyBorder="1">
      <alignment vertical="center"/>
    </xf>
    <xf numFmtId="0" fontId="19" fillId="0" borderId="100" xfId="0" applyFont="1" applyBorder="1">
      <alignment vertical="center"/>
    </xf>
    <xf numFmtId="0" fontId="19" fillId="0" borderId="99" xfId="0" applyFont="1" applyBorder="1" applyAlignment="1">
      <alignment horizontal="center" vertical="center"/>
    </xf>
    <xf numFmtId="0" fontId="19" fillId="0" borderId="36" xfId="0" applyFont="1" applyBorder="1">
      <alignment vertical="center"/>
    </xf>
    <xf numFmtId="0" fontId="19" fillId="0" borderId="35" xfId="0" applyFont="1" applyBorder="1" applyAlignment="1">
      <alignment horizontal="center" vertical="center"/>
    </xf>
    <xf numFmtId="0" fontId="19" fillId="0" borderId="17" xfId="0" applyFont="1" applyBorder="1" applyAlignment="1">
      <alignment horizontal="center" vertical="center"/>
    </xf>
    <xf numFmtId="0" fontId="19" fillId="0" borderId="111" xfId="0" applyFont="1" applyBorder="1" applyAlignment="1">
      <alignment horizontal="center" vertical="center" shrinkToFit="1"/>
    </xf>
    <xf numFmtId="0" fontId="19" fillId="0" borderId="13" xfId="0" applyFont="1" applyBorder="1" applyAlignment="1">
      <alignment horizontal="right" vertical="center"/>
    </xf>
    <xf numFmtId="0" fontId="19" fillId="0" borderId="112" xfId="0" applyFont="1" applyBorder="1" applyAlignment="1">
      <alignment horizontal="right" vertical="center"/>
    </xf>
    <xf numFmtId="0" fontId="19" fillId="0" borderId="113" xfId="0" applyFont="1" applyBorder="1" applyAlignment="1">
      <alignment horizontal="center" vertical="center"/>
    </xf>
    <xf numFmtId="0" fontId="19" fillId="0" borderId="36" xfId="0" applyFont="1" applyBorder="1" applyAlignment="1">
      <alignment horizontal="right" vertical="center"/>
    </xf>
    <xf numFmtId="178" fontId="76" fillId="0" borderId="0" xfId="0" applyNumberFormat="1" applyFont="1" applyAlignment="1">
      <alignment horizontal="right" vertical="top"/>
    </xf>
    <xf numFmtId="0" fontId="26" fillId="35" borderId="28" xfId="0" applyFont="1" applyFill="1" applyBorder="1" applyAlignment="1" applyProtection="1">
      <alignment horizontal="center" vertical="center" wrapText="1"/>
      <protection locked="0"/>
    </xf>
    <xf numFmtId="0" fontId="26" fillId="35" borderId="96" xfId="0" applyFont="1" applyFill="1" applyBorder="1" applyAlignment="1" applyProtection="1">
      <alignment horizontal="center" vertical="center" wrapText="1"/>
      <protection locked="0"/>
    </xf>
    <xf numFmtId="0" fontId="21" fillId="35" borderId="45" xfId="0" applyFont="1" applyFill="1" applyBorder="1" applyAlignment="1" applyProtection="1">
      <alignment horizontal="center" vertical="center" wrapText="1" shrinkToFit="1"/>
      <protection locked="0"/>
    </xf>
    <xf numFmtId="0" fontId="66" fillId="0" borderId="10" xfId="0" applyFont="1" applyBorder="1" applyAlignment="1">
      <alignment vertical="center" wrapText="1"/>
    </xf>
    <xf numFmtId="0" fontId="45" fillId="0" borderId="51" xfId="0" applyFont="1" applyBorder="1" applyAlignment="1">
      <alignment vertical="center" wrapText="1" shrinkToFit="1"/>
    </xf>
    <xf numFmtId="0" fontId="58" fillId="0" borderId="0" xfId="0" applyFont="1" applyAlignment="1">
      <alignment horizontal="center" vertical="center"/>
    </xf>
    <xf numFmtId="0" fontId="48" fillId="0" borderId="18" xfId="0" applyFont="1" applyBorder="1" applyAlignment="1">
      <alignment horizontal="left" vertical="center" wrapText="1"/>
    </xf>
    <xf numFmtId="0" fontId="48" fillId="0" borderId="20"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64" fillId="34" borderId="12" xfId="0" applyFont="1" applyFill="1" applyBorder="1" applyAlignment="1">
      <alignment horizontal="center" vertical="center"/>
    </xf>
    <xf numFmtId="0" fontId="64" fillId="34" borderId="11" xfId="0" applyFont="1" applyFill="1" applyBorder="1" applyAlignment="1">
      <alignment horizontal="center" vertical="center"/>
    </xf>
    <xf numFmtId="0" fontId="42" fillId="35" borderId="12" xfId="0" applyFont="1" applyFill="1" applyBorder="1" applyAlignment="1" applyProtection="1">
      <alignment horizontal="left" vertical="center"/>
      <protection locked="0"/>
    </xf>
    <xf numFmtId="0" fontId="42"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48" fillId="35" borderId="12" xfId="0" applyFont="1" applyFill="1" applyBorder="1" applyProtection="1">
      <alignment vertical="center"/>
      <protection locked="0"/>
    </xf>
    <xf numFmtId="0" fontId="48" fillId="35" borderId="11" xfId="0" applyFont="1" applyFill="1" applyBorder="1" applyProtection="1">
      <alignment vertical="center"/>
      <protection locked="0"/>
    </xf>
    <xf numFmtId="0" fontId="35" fillId="35" borderId="12" xfId="0" applyFont="1" applyFill="1" applyBorder="1" applyAlignment="1" applyProtection="1">
      <alignment horizontal="left" vertical="center"/>
      <protection locked="0"/>
    </xf>
    <xf numFmtId="0" fontId="35"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180" fontId="19" fillId="36" borderId="48" xfId="0" applyNumberFormat="1" applyFont="1" applyFill="1" applyBorder="1" applyAlignment="1">
      <alignment horizontal="center" vertical="center"/>
    </xf>
    <xf numFmtId="180" fontId="19" fillId="36" borderId="44" xfId="0" applyNumberFormat="1" applyFont="1" applyFill="1" applyBorder="1" applyAlignment="1">
      <alignment horizontal="center" vertical="center"/>
    </xf>
    <xf numFmtId="180" fontId="19" fillId="36" borderId="45" xfId="0" applyNumberFormat="1" applyFont="1" applyFill="1" applyBorder="1" applyAlignment="1">
      <alignment horizontal="center" vertical="center"/>
    </xf>
    <xf numFmtId="0" fontId="71" fillId="0" borderId="0" xfId="0" applyFont="1" applyAlignment="1">
      <alignment horizontal="left" vertical="center" indent="7"/>
    </xf>
    <xf numFmtId="0" fontId="71" fillId="0" borderId="0" xfId="0" applyFont="1" applyAlignment="1">
      <alignment horizontal="left" vertical="center" shrinkToFit="1"/>
    </xf>
    <xf numFmtId="0" fontId="71" fillId="0" borderId="0" xfId="0" applyFont="1" applyAlignment="1">
      <alignment horizontal="left" vertical="top" indent="7"/>
    </xf>
    <xf numFmtId="184" fontId="71" fillId="0" borderId="0" xfId="0" applyNumberFormat="1" applyFont="1" applyAlignment="1">
      <alignment horizontal="left" vertical="top" shrinkToFit="1"/>
    </xf>
    <xf numFmtId="0" fontId="70" fillId="0" borderId="0" xfId="0" applyFont="1" applyAlignment="1">
      <alignment horizontal="left" vertical="top"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2" xfId="0" quotePrefix="1" applyFont="1" applyBorder="1" applyAlignment="1">
      <alignment horizontal="left" vertical="center" wrapText="1"/>
    </xf>
    <xf numFmtId="0" fontId="26" fillId="0" borderId="24" xfId="0" quotePrefix="1" applyFont="1" applyBorder="1" applyAlignment="1">
      <alignment horizontal="left" vertical="center" wrapText="1"/>
    </xf>
    <xf numFmtId="0" fontId="26" fillId="0" borderId="18" xfId="0" applyFont="1" applyBorder="1" applyAlignment="1">
      <alignment horizontal="left" vertical="center" wrapText="1"/>
    </xf>
    <xf numFmtId="0" fontId="26" fillId="0" borderId="109" xfId="0" applyFont="1" applyBorder="1" applyAlignment="1">
      <alignment horizontal="left" vertical="center" wrapText="1"/>
    </xf>
    <xf numFmtId="0" fontId="54" fillId="0" borderId="10" xfId="0" applyFont="1" applyBorder="1" applyAlignment="1">
      <alignment horizontal="left" vertical="center" wrapText="1"/>
    </xf>
    <xf numFmtId="0" fontId="54" fillId="0" borderId="12" xfId="0" applyFont="1" applyBorder="1" applyAlignment="1">
      <alignment horizontal="left" vertical="center" wrapText="1"/>
    </xf>
    <xf numFmtId="0" fontId="54" fillId="0" borderId="12" xfId="0" applyFont="1" applyBorder="1" applyAlignment="1">
      <alignment horizontal="left" vertical="center"/>
    </xf>
    <xf numFmtId="181" fontId="26" fillId="33" borderId="18" xfId="0" applyNumberFormat="1" applyFont="1" applyFill="1" applyBorder="1" applyAlignment="1">
      <alignment horizontal="center" vertical="center" wrapText="1" shrinkToFit="1"/>
    </xf>
    <xf numFmtId="181" fontId="26" fillId="33" borderId="19" xfId="0" applyNumberFormat="1" applyFont="1" applyFill="1" applyBorder="1" applyAlignment="1">
      <alignment horizontal="center" vertical="center" wrapText="1" shrinkToFit="1"/>
    </xf>
    <xf numFmtId="181" fontId="26" fillId="33" borderId="20" xfId="0" applyNumberFormat="1" applyFont="1" applyFill="1" applyBorder="1" applyAlignment="1">
      <alignment horizontal="center" vertical="center" wrapText="1" shrinkToFit="1"/>
    </xf>
    <xf numFmtId="0" fontId="54" fillId="0" borderId="11" xfId="0" applyFont="1" applyBorder="1" applyAlignment="1">
      <alignment horizontal="left" vertical="center" wrapText="1"/>
    </xf>
    <xf numFmtId="0" fontId="21" fillId="0" borderId="44" xfId="0" applyFont="1" applyBorder="1" applyAlignment="1">
      <alignment horizontal="left" vertical="top" wrapText="1" shrinkToFit="1"/>
    </xf>
    <xf numFmtId="0" fontId="21" fillId="0" borderId="51" xfId="0" applyFont="1" applyBorder="1" applyAlignment="1">
      <alignment horizontal="left" vertical="top" wrapText="1" shrinkToFit="1"/>
    </xf>
    <xf numFmtId="0" fontId="22" fillId="0" borderId="10" xfId="0" applyFont="1" applyBorder="1" applyAlignment="1">
      <alignment horizontal="center"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176" fontId="23" fillId="33" borderId="10" xfId="0" applyNumberFormat="1" applyFont="1" applyFill="1" applyBorder="1" applyAlignment="1">
      <alignment horizontal="center" vertical="center" wrapText="1"/>
    </xf>
    <xf numFmtId="0" fontId="23" fillId="37" borderId="30" xfId="0" applyFont="1" applyFill="1" applyBorder="1" applyAlignment="1" applyProtection="1">
      <alignment horizontal="center" vertical="center" wrapText="1"/>
      <protection locked="0"/>
    </xf>
    <xf numFmtId="0" fontId="23" fillId="37" borderId="54" xfId="0" applyFont="1" applyFill="1" applyBorder="1" applyAlignment="1" applyProtection="1">
      <alignment horizontal="center" vertical="center" wrapText="1"/>
      <protection locked="0"/>
    </xf>
    <xf numFmtId="0" fontId="23" fillId="37" borderId="31" xfId="0" applyFont="1" applyFill="1" applyBorder="1" applyAlignment="1" applyProtection="1">
      <alignment horizontal="center" vertical="center" wrapText="1"/>
      <protection locked="0"/>
    </xf>
    <xf numFmtId="0" fontId="54" fillId="0" borderId="0" xfId="0" applyFont="1" applyAlignment="1">
      <alignment horizontal="left" vertical="top" wrapText="1"/>
    </xf>
    <xf numFmtId="0" fontId="24" fillId="0" borderId="0" xfId="0" applyFont="1" applyAlignment="1">
      <alignment horizontal="right" vertical="center" wrapText="1"/>
    </xf>
    <xf numFmtId="0" fontId="53" fillId="0" borderId="75" xfId="0" applyFont="1" applyBorder="1" applyAlignment="1">
      <alignment horizontal="center" vertical="center"/>
    </xf>
    <xf numFmtId="0" fontId="53" fillId="0" borderId="56" xfId="0" applyFont="1" applyBorder="1" applyAlignment="1">
      <alignment horizontal="center" vertical="center"/>
    </xf>
    <xf numFmtId="0" fontId="53" fillId="0" borderId="57" xfId="0" applyFont="1" applyBorder="1" applyAlignment="1">
      <alignment horizontal="center" vertical="center"/>
    </xf>
    <xf numFmtId="183" fontId="29" fillId="35" borderId="54"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24" fillId="0" borderId="24" xfId="0" applyFont="1" applyBorder="1" applyAlignment="1">
      <alignment horizontal="left" vertical="center" wrapText="1"/>
    </xf>
    <xf numFmtId="0" fontId="24" fillId="0" borderId="11" xfId="0" applyFont="1" applyBorder="1" applyAlignment="1">
      <alignment horizontal="left" vertical="center" wrapText="1"/>
    </xf>
    <xf numFmtId="0" fontId="29" fillId="35" borderId="71" xfId="0" applyFont="1" applyFill="1" applyBorder="1" applyAlignment="1" applyProtection="1">
      <alignment horizontal="center" vertical="center" wrapText="1"/>
      <protection locked="0"/>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183" fontId="29" fillId="35" borderId="30" xfId="0" applyNumberFormat="1" applyFont="1" applyFill="1" applyBorder="1" applyAlignment="1" applyProtection="1">
      <alignment horizontal="center" vertical="center" wrapText="1"/>
      <protection locked="0"/>
    </xf>
    <xf numFmtId="0" fontId="69" fillId="0" borderId="0" xfId="0" applyFont="1" applyAlignment="1">
      <alignment horizontal="center" vertical="center"/>
    </xf>
    <xf numFmtId="58" fontId="70" fillId="0" borderId="0" xfId="0" applyNumberFormat="1" applyFont="1" applyAlignment="1">
      <alignment horizontal="right" vertical="center" indent="1"/>
    </xf>
    <xf numFmtId="0" fontId="71" fillId="0" borderId="0" xfId="0" applyFont="1" applyAlignment="1">
      <alignment horizontal="left" wrapText="1" shrinkToFit="1"/>
    </xf>
    <xf numFmtId="0" fontId="71" fillId="0" borderId="0" xfId="0" applyFont="1" applyAlignment="1">
      <alignment horizontal="left" indent="7"/>
    </xf>
    <xf numFmtId="0" fontId="71" fillId="0" borderId="0" xfId="0" applyFont="1" applyAlignment="1">
      <alignment horizontal="left" shrinkToFit="1"/>
    </xf>
    <xf numFmtId="176" fontId="26" fillId="0" borderId="18" xfId="0" applyNumberFormat="1" applyFont="1" applyBorder="1" applyAlignment="1">
      <alignment horizontal="center" vertical="center" wrapText="1"/>
    </xf>
    <xf numFmtId="176" fontId="26" fillId="0" borderId="19" xfId="0" applyNumberFormat="1" applyFont="1" applyBorder="1" applyAlignment="1">
      <alignment horizontal="center" vertical="center" wrapText="1"/>
    </xf>
    <xf numFmtId="176" fontId="26" fillId="0" borderId="20" xfId="0" applyNumberFormat="1" applyFont="1" applyBorder="1" applyAlignment="1">
      <alignment horizontal="center" vertical="center" wrapText="1"/>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49" fontId="26" fillId="35" borderId="69" xfId="0" applyNumberFormat="1" applyFont="1" applyFill="1" applyBorder="1" applyAlignment="1" applyProtection="1">
      <alignment horizontal="center" vertical="center" shrinkToFit="1"/>
      <protection locked="0"/>
    </xf>
    <xf numFmtId="49" fontId="26" fillId="35" borderId="98" xfId="0" applyNumberFormat="1" applyFont="1" applyFill="1" applyBorder="1" applyAlignment="1" applyProtection="1">
      <alignment horizontal="center" vertical="center" shrinkToFit="1"/>
      <protection locked="0"/>
    </xf>
    <xf numFmtId="49" fontId="26" fillId="35" borderId="69" xfId="0" quotePrefix="1" applyNumberFormat="1" applyFont="1" applyFill="1" applyBorder="1" applyAlignment="1" applyProtection="1">
      <alignment horizontal="center" vertical="center" shrinkToFit="1"/>
      <protection locked="0"/>
    </xf>
    <xf numFmtId="0" fontId="23" fillId="0" borderId="17" xfId="0" applyFont="1" applyBorder="1" applyAlignment="1">
      <alignment horizontal="left" vertical="center" wrapText="1"/>
    </xf>
    <xf numFmtId="0" fontId="23" fillId="0" borderId="74" xfId="0" applyFont="1" applyBorder="1" applyAlignment="1">
      <alignment horizontal="left" vertical="center" wrapText="1"/>
    </xf>
    <xf numFmtId="0" fontId="26" fillId="0" borderId="52" xfId="0" applyFont="1" applyBorder="1" applyAlignment="1">
      <alignment horizontal="left" vertical="center" wrapText="1"/>
    </xf>
    <xf numFmtId="0" fontId="23" fillId="0" borderId="12" xfId="0" applyFont="1" applyBorder="1" applyAlignment="1">
      <alignment horizontal="left" vertical="center" wrapText="1"/>
    </xf>
    <xf numFmtId="0" fontId="23" fillId="0" borderId="52" xfId="0" applyFont="1" applyBorder="1" applyAlignment="1">
      <alignment horizontal="left" vertical="center" wrapText="1"/>
    </xf>
    <xf numFmtId="0" fontId="53" fillId="0" borderId="12" xfId="0" applyFont="1" applyBorder="1" applyAlignment="1">
      <alignment horizontal="left" vertical="center" wrapText="1"/>
    </xf>
    <xf numFmtId="0" fontId="53" fillId="0" borderId="52" xfId="0" applyFont="1" applyBorder="1" applyAlignment="1">
      <alignment horizontal="left" vertical="center" wrapText="1"/>
    </xf>
    <xf numFmtId="0" fontId="29" fillId="0" borderId="12" xfId="0" applyFont="1" applyBorder="1" applyAlignment="1">
      <alignment horizontal="left" vertical="center" wrapText="1"/>
    </xf>
    <xf numFmtId="0" fontId="29" fillId="0" borderId="52" xfId="0" applyFont="1" applyBorder="1" applyAlignment="1">
      <alignment horizontal="left" vertical="center" wrapText="1"/>
    </xf>
    <xf numFmtId="0" fontId="31" fillId="0" borderId="29" xfId="0" applyFont="1" applyBorder="1" applyAlignment="1">
      <alignment horizontal="center" vertical="center"/>
    </xf>
    <xf numFmtId="0" fontId="31" fillId="0" borderId="15" xfId="0" applyFont="1" applyBorder="1" applyAlignment="1">
      <alignment horizontal="center" vertical="center"/>
    </xf>
    <xf numFmtId="0" fontId="24" fillId="0" borderId="0" xfId="0" applyFont="1" applyAlignment="1">
      <alignment horizontal="left" vertical="center" shrinkToFit="1"/>
    </xf>
    <xf numFmtId="0" fontId="40"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22" xfId="0" applyFont="1" applyBorder="1" applyAlignment="1">
      <alignment horizontal="left" vertical="center" wrapText="1"/>
    </xf>
    <xf numFmtId="176" fontId="23" fillId="0" borderId="18" xfId="0" applyNumberFormat="1" applyFont="1" applyBorder="1" applyAlignment="1">
      <alignment horizontal="center" vertical="center" wrapText="1"/>
    </xf>
    <xf numFmtId="176" fontId="23" fillId="0" borderId="19" xfId="0" applyNumberFormat="1" applyFont="1" applyBorder="1" applyAlignment="1">
      <alignment horizontal="center" vertical="center" wrapText="1"/>
    </xf>
    <xf numFmtId="0" fontId="36" fillId="0" borderId="18" xfId="0" applyFont="1" applyBorder="1" applyAlignment="1">
      <alignment horizontal="center" vertical="center" textRotation="255"/>
    </xf>
    <xf numFmtId="0" fontId="36" fillId="0" borderId="19" xfId="0" applyFont="1" applyBorder="1" applyAlignment="1">
      <alignment horizontal="center" vertical="center" textRotation="255"/>
    </xf>
    <xf numFmtId="0" fontId="36" fillId="0" borderId="25" xfId="0" applyFont="1" applyBorder="1" applyAlignment="1">
      <alignment horizontal="center" vertical="center" textRotation="255"/>
    </xf>
    <xf numFmtId="0" fontId="36" fillId="0" borderId="20" xfId="0" applyFont="1" applyBorder="1" applyAlignment="1">
      <alignment horizontal="center" vertical="center" textRotation="255"/>
    </xf>
    <xf numFmtId="0" fontId="21" fillId="0" borderId="77" xfId="0" applyFont="1" applyBorder="1" applyAlignment="1">
      <alignment horizontal="left" vertical="center" wrapText="1"/>
    </xf>
    <xf numFmtId="0" fontId="21" fillId="0" borderId="16" xfId="0" applyFont="1" applyBorder="1" applyAlignment="1">
      <alignment horizontal="left" vertical="center" wrapText="1"/>
    </xf>
    <xf numFmtId="177" fontId="23" fillId="0" borderId="10" xfId="0" applyNumberFormat="1" applyFont="1" applyBorder="1" applyAlignment="1">
      <alignment horizontal="center" vertical="center" wrapText="1"/>
    </xf>
    <xf numFmtId="177" fontId="23" fillId="33" borderId="10" xfId="0" applyNumberFormat="1" applyFont="1" applyFill="1" applyBorder="1" applyAlignment="1">
      <alignment horizontal="center" vertical="center" wrapText="1"/>
    </xf>
    <xf numFmtId="176" fontId="23" fillId="0" borderId="10" xfId="0" applyNumberFormat="1" applyFont="1" applyBorder="1" applyAlignment="1">
      <alignment horizontal="center" vertical="center" wrapText="1"/>
    </xf>
    <xf numFmtId="0" fontId="23" fillId="0" borderId="23" xfId="0" applyFont="1" applyBorder="1" applyAlignment="1">
      <alignment horizontal="left" vertical="center" wrapText="1"/>
    </xf>
    <xf numFmtId="0" fontId="23" fillId="0" borderId="13" xfId="0" applyFont="1" applyBorder="1" applyAlignment="1">
      <alignment horizontal="left" vertical="center" wrapText="1"/>
    </xf>
    <xf numFmtId="0" fontId="26" fillId="0" borderId="21" xfId="0" applyFont="1" applyBorder="1" applyAlignment="1">
      <alignment horizontal="left" vertical="center" wrapText="1"/>
    </xf>
    <xf numFmtId="0" fontId="26" fillId="0" borderId="16" xfId="0" applyFont="1" applyBorder="1" applyAlignment="1">
      <alignment horizontal="left" vertical="center" wrapText="1"/>
    </xf>
    <xf numFmtId="0" fontId="26" fillId="0" borderId="0" xfId="0" applyFont="1" applyAlignment="1">
      <alignment horizontal="left"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26" fillId="0" borderId="13" xfId="0" applyFont="1" applyBorder="1" applyAlignment="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4"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26" fillId="0" borderId="14" xfId="0" applyFont="1" applyBorder="1" applyAlignment="1">
      <alignment horizontal="left" vertical="center" wrapText="1"/>
    </xf>
    <xf numFmtId="0" fontId="26" fillId="0" borderId="25" xfId="0" applyFont="1" applyBorder="1" applyAlignment="1">
      <alignment horizontal="left" vertical="center" wrapText="1"/>
    </xf>
    <xf numFmtId="0" fontId="26" fillId="0" borderId="17" xfId="0" applyFont="1" applyBorder="1" applyAlignment="1">
      <alignment horizontal="left" vertical="center" wrapText="1"/>
    </xf>
    <xf numFmtId="177" fontId="26" fillId="33" borderId="18" xfId="0" applyNumberFormat="1" applyFont="1" applyFill="1" applyBorder="1" applyAlignment="1">
      <alignment horizontal="center" vertical="center" wrapText="1"/>
    </xf>
    <xf numFmtId="177" fontId="26" fillId="33" borderId="19" xfId="0" applyNumberFormat="1" applyFont="1" applyFill="1" applyBorder="1" applyAlignment="1">
      <alignment horizontal="center" vertical="center" wrapText="1"/>
    </xf>
    <xf numFmtId="177" fontId="26" fillId="33" borderId="20" xfId="0" applyNumberFormat="1" applyFont="1" applyFill="1" applyBorder="1" applyAlignment="1">
      <alignment horizontal="center" vertical="center" wrapText="1"/>
    </xf>
    <xf numFmtId="177" fontId="26" fillId="0" borderId="18" xfId="0" applyNumberFormat="1" applyFont="1" applyBorder="1" applyAlignment="1">
      <alignment horizontal="center" vertical="center" wrapText="1"/>
    </xf>
    <xf numFmtId="177" fontId="26" fillId="0" borderId="20" xfId="0" applyNumberFormat="1" applyFont="1" applyBorder="1" applyAlignment="1">
      <alignment horizontal="center" vertical="center" wrapText="1"/>
    </xf>
    <xf numFmtId="177" fontId="26" fillId="0" borderId="19" xfId="0" applyNumberFormat="1" applyFont="1" applyBorder="1" applyAlignment="1">
      <alignment horizontal="center" vertical="center" wrapText="1"/>
    </xf>
    <xf numFmtId="177" fontId="26" fillId="0" borderId="61" xfId="0" applyNumberFormat="1" applyFont="1" applyBorder="1" applyAlignment="1">
      <alignment horizontal="center" vertical="center" wrapText="1"/>
    </xf>
    <xf numFmtId="0" fontId="26" fillId="0" borderId="62" xfId="0" applyFont="1" applyBorder="1" applyAlignment="1">
      <alignment horizontal="left" wrapText="1"/>
    </xf>
    <xf numFmtId="0" fontId="26" fillId="0" borderId="19" xfId="0" applyFont="1" applyBorder="1" applyAlignment="1">
      <alignment horizontal="left" wrapText="1"/>
    </xf>
    <xf numFmtId="0" fontId="26" fillId="0" borderId="20" xfId="0" applyFont="1" applyBorder="1" applyAlignment="1">
      <alignment horizontal="left" wrapText="1"/>
    </xf>
    <xf numFmtId="0" fontId="19" fillId="0" borderId="18" xfId="0" applyFont="1" applyBorder="1" applyAlignment="1">
      <alignment horizontal="right" vertical="center"/>
    </xf>
    <xf numFmtId="0" fontId="19" fillId="0" borderId="20" xfId="0" applyFont="1" applyBorder="1" applyAlignment="1">
      <alignment horizontal="right" vertical="center"/>
    </xf>
    <xf numFmtId="177" fontId="26" fillId="33" borderId="89" xfId="0" applyNumberFormat="1" applyFont="1" applyFill="1" applyBorder="1" applyAlignment="1">
      <alignment horizontal="center" vertical="center" wrapText="1"/>
    </xf>
    <xf numFmtId="177" fontId="26" fillId="33" borderId="25" xfId="0" applyNumberFormat="1" applyFont="1" applyFill="1" applyBorder="1" applyAlignment="1">
      <alignment horizontal="center" vertical="center" wrapText="1"/>
    </xf>
    <xf numFmtId="177" fontId="26" fillId="33" borderId="17" xfId="0" applyNumberFormat="1" applyFont="1" applyFill="1" applyBorder="1" applyAlignment="1">
      <alignment horizontal="center" vertical="center" wrapText="1"/>
    </xf>
    <xf numFmtId="177" fontId="26" fillId="0" borderId="62" xfId="0" applyNumberFormat="1" applyFont="1" applyBorder="1" applyAlignment="1">
      <alignment horizontal="center" vertical="center" wrapText="1"/>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77" fillId="0" borderId="18" xfId="0" applyFont="1" applyBorder="1" applyAlignment="1">
      <alignment horizontal="left" wrapText="1"/>
    </xf>
    <xf numFmtId="0" fontId="77" fillId="0" borderId="19" xfId="0" applyFont="1" applyBorder="1" applyAlignment="1">
      <alignment horizontal="left" wrapText="1"/>
    </xf>
    <xf numFmtId="0" fontId="77" fillId="0" borderId="61" xfId="0" applyFont="1" applyBorder="1" applyAlignment="1">
      <alignment horizontal="left" wrapText="1"/>
    </xf>
    <xf numFmtId="0" fontId="26" fillId="0" borderId="20" xfId="0" applyFont="1" applyBorder="1" applyAlignment="1">
      <alignment horizontal="left" vertical="center" wrapText="1"/>
    </xf>
    <xf numFmtId="0" fontId="54" fillId="0" borderId="97" xfId="0" applyFont="1" applyBorder="1" applyAlignment="1">
      <alignment horizontal="left" vertical="center" wrapText="1"/>
    </xf>
    <xf numFmtId="0" fontId="54" fillId="0" borderId="63" xfId="0" applyFont="1" applyBorder="1" applyAlignment="1">
      <alignment horizontal="left" vertical="center" wrapText="1"/>
    </xf>
    <xf numFmtId="0" fontId="54" fillId="0" borderId="64" xfId="0" applyFont="1" applyBorder="1" applyAlignment="1">
      <alignment horizontal="left" vertical="center" wrapText="1"/>
    </xf>
    <xf numFmtId="0" fontId="54" fillId="0" borderId="42" xfId="0" applyFont="1" applyBorder="1" applyAlignment="1">
      <alignment horizontal="left" vertical="center" wrapText="1"/>
    </xf>
    <xf numFmtId="0" fontId="54" fillId="0" borderId="20" xfId="0" applyFont="1" applyBorder="1" applyAlignment="1">
      <alignment horizontal="left" vertical="center" wrapText="1"/>
    </xf>
    <xf numFmtId="0" fontId="19" fillId="0" borderId="82" xfId="0" applyFont="1" applyBorder="1" applyAlignment="1">
      <alignment horizontal="center" vertical="center"/>
    </xf>
    <xf numFmtId="0" fontId="19" fillId="0" borderId="84" xfId="0" applyFont="1" applyBorder="1" applyAlignment="1">
      <alignment horizontal="center" vertical="center"/>
    </xf>
    <xf numFmtId="0" fontId="19" fillId="0" borderId="83" xfId="0" applyFont="1" applyBorder="1" applyAlignment="1">
      <alignment horizontal="center" vertical="center"/>
    </xf>
    <xf numFmtId="0" fontId="54" fillId="0" borderId="0" xfId="0" applyFont="1" applyAlignment="1">
      <alignment horizontal="justify" vertical="top"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19" fillId="0" borderId="19" xfId="0" applyFont="1" applyBorder="1" applyAlignment="1">
      <alignment horizontal="right" vertical="center"/>
    </xf>
    <xf numFmtId="0" fontId="24" fillId="0" borderId="12" xfId="0" applyFont="1" applyBorder="1" applyAlignment="1">
      <alignment horizontal="left" vertical="center" wrapText="1"/>
    </xf>
    <xf numFmtId="0" fontId="23" fillId="0" borderId="14" xfId="0" applyFont="1" applyBorder="1" applyAlignment="1">
      <alignment horizontal="left" vertical="center" wrapText="1"/>
    </xf>
    <xf numFmtId="0" fontId="36" fillId="0" borderId="10" xfId="0" applyFont="1" applyBorder="1" applyAlignment="1">
      <alignment horizontal="center" vertical="center" textRotation="255"/>
    </xf>
    <xf numFmtId="177" fontId="26" fillId="33" borderId="12" xfId="0" applyNumberFormat="1" applyFont="1" applyFill="1" applyBorder="1" applyAlignment="1">
      <alignment horizontal="center" vertical="center" wrapText="1"/>
    </xf>
    <xf numFmtId="177" fontId="26" fillId="33" borderId="14" xfId="0" applyNumberFormat="1" applyFont="1" applyFill="1" applyBorder="1" applyAlignment="1">
      <alignment horizontal="center" vertical="center" wrapText="1"/>
    </xf>
    <xf numFmtId="177" fontId="26" fillId="33" borderId="67" xfId="0" applyNumberFormat="1" applyFont="1" applyFill="1" applyBorder="1" applyAlignment="1">
      <alignment horizontal="center" vertical="center" wrapText="1"/>
    </xf>
    <xf numFmtId="180" fontId="19" fillId="36" borderId="78" xfId="0" applyNumberFormat="1" applyFont="1" applyFill="1" applyBorder="1" applyAlignment="1">
      <alignment horizontal="right" vertical="center"/>
    </xf>
    <xf numFmtId="180" fontId="19" fillId="36" borderId="77" xfId="0" applyNumberFormat="1" applyFont="1" applyFill="1" applyBorder="1" applyAlignment="1">
      <alignment horizontal="right" vertical="center"/>
    </xf>
    <xf numFmtId="180" fontId="19" fillId="36" borderId="79" xfId="0" applyNumberFormat="1" applyFont="1" applyFill="1" applyBorder="1" applyAlignment="1">
      <alignment horizontal="right" vertical="center"/>
    </xf>
    <xf numFmtId="0" fontId="53" fillId="0" borderId="24" xfId="0" applyFont="1" applyBorder="1" applyAlignment="1">
      <alignment horizontal="center" vertical="center"/>
    </xf>
    <xf numFmtId="0" fontId="23" fillId="35" borderId="30" xfId="0" applyFont="1" applyFill="1" applyBorder="1" applyAlignment="1" applyProtection="1">
      <alignment horizontal="center" vertical="center" shrinkToFit="1"/>
      <protection locked="0"/>
    </xf>
    <xf numFmtId="0" fontId="23" fillId="35" borderId="54"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36" fillId="0" borderId="58" xfId="0" applyFont="1" applyBorder="1" applyAlignment="1">
      <alignment horizontal="center" vertical="center" textRotation="255"/>
    </xf>
    <xf numFmtId="0" fontId="36" fillId="0" borderId="59" xfId="0" applyFont="1" applyBorder="1" applyAlignment="1">
      <alignment horizontal="center" vertical="center" textRotation="255"/>
    </xf>
    <xf numFmtId="0" fontId="36" fillId="0" borderId="60" xfId="0" applyFont="1" applyBorder="1" applyAlignment="1">
      <alignment horizontal="center" vertical="center" textRotation="255"/>
    </xf>
    <xf numFmtId="0" fontId="23" fillId="0" borderId="48" xfId="0" applyFont="1" applyBorder="1" applyAlignment="1">
      <alignment horizontal="left" vertical="center" wrapText="1" shrinkToFit="1"/>
    </xf>
    <xf numFmtId="0" fontId="23" fillId="0" borderId="51" xfId="0" applyFont="1" applyBorder="1" applyAlignment="1">
      <alignment horizontal="left" vertical="center" wrapText="1" shrinkToFit="1"/>
    </xf>
    <xf numFmtId="0" fontId="53" fillId="0" borderId="17" xfId="0" applyFont="1" applyBorder="1" applyAlignment="1">
      <alignment horizontal="center" vertical="center"/>
    </xf>
    <xf numFmtId="0" fontId="53" fillId="0" borderId="23" xfId="0" applyFont="1" applyBorder="1" applyAlignment="1">
      <alignment horizontal="center" vertical="center"/>
    </xf>
    <xf numFmtId="0" fontId="53" fillId="0" borderId="13" xfId="0" applyFont="1" applyBorder="1" applyAlignment="1">
      <alignment horizontal="center" vertical="center"/>
    </xf>
    <xf numFmtId="0" fontId="47" fillId="0" borderId="24" xfId="0" applyFont="1" applyBorder="1" applyAlignment="1">
      <alignment horizontal="center" vertical="center" wrapText="1" shrinkToFit="1"/>
    </xf>
    <xf numFmtId="0" fontId="47" fillId="0" borderId="23" xfId="0" applyFont="1" applyBorder="1" applyAlignment="1">
      <alignment horizontal="center" vertical="center" wrapText="1" shrinkToFi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13" xfId="0" applyFont="1" applyBorder="1" applyAlignment="1">
      <alignment horizontal="left" vertical="top" wrapText="1"/>
    </xf>
    <xf numFmtId="176" fontId="23" fillId="0" borderId="20" xfId="0" applyNumberFormat="1" applyFont="1" applyBorder="1" applyAlignment="1">
      <alignment horizontal="center" vertical="center" wrapText="1"/>
    </xf>
    <xf numFmtId="0" fontId="26" fillId="0" borderId="24" xfId="0" applyFont="1" applyBorder="1" applyAlignment="1">
      <alignment horizontal="left" vertical="center" wrapText="1"/>
    </xf>
    <xf numFmtId="0" fontId="54" fillId="0" borderId="24" xfId="0" applyFont="1" applyBorder="1" applyAlignment="1">
      <alignment horizontal="left" vertical="center" wrapText="1"/>
    </xf>
    <xf numFmtId="0" fontId="23" fillId="0" borderId="10" xfId="0" applyFont="1" applyBorder="1" applyAlignment="1">
      <alignment horizontal="left" vertical="center" wrapText="1"/>
    </xf>
    <xf numFmtId="0" fontId="26" fillId="0" borderId="10" xfId="0" applyFont="1" applyBorder="1" applyAlignment="1">
      <alignment horizontal="left" vertical="center" wrapText="1"/>
    </xf>
    <xf numFmtId="0" fontId="29" fillId="0" borderId="10" xfId="0" applyFont="1" applyBorder="1" applyAlignment="1">
      <alignment horizontal="left" vertical="center" wrapText="1"/>
    </xf>
    <xf numFmtId="0" fontId="24" fillId="0" borderId="0" xfId="0" applyFont="1" applyAlignment="1">
      <alignment horizontal="justify" vertical="center" wrapText="1"/>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horizontal="center" vertical="center" wrapText="1"/>
    </xf>
    <xf numFmtId="0" fontId="54" fillId="0" borderId="25" xfId="0" applyFont="1" applyBorder="1" applyAlignment="1">
      <alignment horizontal="left" vertical="center" wrapText="1"/>
    </xf>
    <xf numFmtId="0" fontId="54" fillId="0" borderId="0" xfId="0" applyFont="1" applyAlignment="1">
      <alignment horizontal="left" vertical="center" wrapText="1"/>
    </xf>
    <xf numFmtId="0" fontId="54" fillId="0" borderId="66" xfId="0" applyFont="1" applyBorder="1" applyAlignment="1">
      <alignment horizontal="left" vertical="center" wrapText="1"/>
    </xf>
    <xf numFmtId="0" fontId="26" fillId="0" borderId="21" xfId="0" quotePrefix="1" applyFont="1" applyBorder="1" applyAlignment="1">
      <alignment horizontal="left" vertical="center" wrapText="1"/>
    </xf>
    <xf numFmtId="0" fontId="29" fillId="35" borderId="30" xfId="0" applyFont="1" applyFill="1" applyBorder="1" applyAlignment="1" applyProtection="1">
      <alignment horizontal="center" vertical="center" wrapText="1"/>
      <protection locked="0"/>
    </xf>
    <xf numFmtId="0" fontId="29" fillId="35" borderId="54"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56" fillId="0" borderId="23" xfId="0" applyFont="1" applyBorder="1" applyAlignment="1">
      <alignment horizontal="center" vertical="center" wrapText="1"/>
    </xf>
    <xf numFmtId="0" fontId="56" fillId="0" borderId="74" xfId="0" applyFont="1" applyBorder="1" applyAlignment="1">
      <alignment horizontal="center"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4"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4" fillId="0" borderId="52" xfId="0" applyFont="1" applyBorder="1" applyAlignment="1">
      <alignment horizontal="left" vertical="center" wrapText="1"/>
    </xf>
    <xf numFmtId="0" fontId="54" fillId="0" borderId="52" xfId="0" applyFont="1" applyBorder="1" applyAlignment="1">
      <alignment horizontal="left" vertical="center" wrapText="1"/>
    </xf>
    <xf numFmtId="177" fontId="26" fillId="0" borderId="94" xfId="0" applyNumberFormat="1" applyFont="1" applyBorder="1" applyAlignment="1">
      <alignment horizontal="left" vertical="center" wrapText="1"/>
    </xf>
    <xf numFmtId="177" fontId="26" fillId="0" borderId="18" xfId="0" applyNumberFormat="1" applyFont="1" applyBorder="1" applyAlignment="1">
      <alignment horizontal="left" vertical="center" wrapText="1"/>
    </xf>
    <xf numFmtId="0" fontId="54" fillId="0" borderId="94" xfId="0" applyFont="1" applyBorder="1" applyAlignment="1">
      <alignment horizontal="left" vertical="center" wrapText="1"/>
    </xf>
    <xf numFmtId="0" fontId="54" fillId="0" borderId="95" xfId="0" applyFont="1" applyBorder="1" applyAlignment="1">
      <alignment horizontal="left" vertical="center" wrapText="1"/>
    </xf>
    <xf numFmtId="0" fontId="54" fillId="0" borderId="24" xfId="0" applyFont="1" applyBorder="1" applyAlignment="1">
      <alignment horizontal="center" vertical="center" wrapText="1"/>
    </xf>
    <xf numFmtId="0" fontId="54" fillId="0" borderId="24" xfId="0" applyFont="1" applyBorder="1" applyAlignment="1">
      <alignment horizontal="center" vertical="center"/>
    </xf>
    <xf numFmtId="0" fontId="23" fillId="37" borderId="30" xfId="0" applyFont="1" applyFill="1" applyBorder="1" applyAlignment="1" applyProtection="1">
      <alignment horizontal="left" vertical="center" wrapText="1"/>
      <protection locked="0"/>
    </xf>
    <xf numFmtId="0" fontId="23" fillId="37" borderId="54" xfId="0" applyFont="1" applyFill="1" applyBorder="1" applyAlignment="1" applyProtection="1">
      <alignment horizontal="left" vertical="center" wrapText="1"/>
      <protection locked="0"/>
    </xf>
    <xf numFmtId="0" fontId="23" fillId="37" borderId="31" xfId="0" applyFont="1" applyFill="1" applyBorder="1" applyAlignment="1" applyProtection="1">
      <alignment horizontal="left" vertical="center" wrapText="1"/>
      <protection locked="0"/>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24"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0">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114300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693420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792480</xdr:colOff>
          <xdr:row>5</xdr:row>
          <xdr:rowOff>327660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99060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1760220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121920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327660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12700</xdr:colOff>
      <xdr:row>23</xdr:row>
      <xdr:rowOff>38100</xdr:rowOff>
    </xdr:from>
    <xdr:to>
      <xdr:col>5</xdr:col>
      <xdr:colOff>2836719</xdr:colOff>
      <xdr:row>50</xdr:row>
      <xdr:rowOff>150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52400" y="8420100"/>
          <a:ext cx="7942119" cy="48642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＜様式第１１号－２に関する記載留意事項＞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673100</xdr:colOff>
      <xdr:row>17</xdr:row>
      <xdr:rowOff>114300</xdr:rowOff>
    </xdr:from>
    <xdr:to>
      <xdr:col>11</xdr:col>
      <xdr:colOff>984625</xdr:colOff>
      <xdr:row>43</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940800" y="62103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198740</xdr:colOff>
      <xdr:row>46</xdr:row>
      <xdr:rowOff>97971</xdr:rowOff>
    </xdr:from>
    <xdr:to>
      <xdr:col>30</xdr:col>
      <xdr:colOff>459319</xdr:colOff>
      <xdr:row>46</xdr:row>
      <xdr:rowOff>361798</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11530769" y="13563600"/>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列以降は、計算用なので絶対に触らないこと。</a:t>
          </a:r>
        </a:p>
      </xdr:txBody>
    </xdr:sp>
    <xdr:clientData/>
  </xdr:twoCellAnchor>
  <xdr:twoCellAnchor>
    <xdr:from>
      <xdr:col>19</xdr:col>
      <xdr:colOff>97972</xdr:colOff>
      <xdr:row>47</xdr:row>
      <xdr:rowOff>54428</xdr:rowOff>
    </xdr:from>
    <xdr:to>
      <xdr:col>24</xdr:col>
      <xdr:colOff>390072</xdr:colOff>
      <xdr:row>50</xdr:row>
      <xdr:rowOff>156028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469086" y="751114"/>
          <a:ext cx="4940300" cy="689428"/>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様式第１１号－２を入力するようにしてください。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869679" y="821870"/>
          <a:ext cx="6858001" cy="9654541"/>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３．様式第１１号－２が正しく入力、選択されているか確認して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様式第１号、様式第１１号－２に表示される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様式第１１号－２の黄色セルへの入力内容は正しいですか？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様式第１１号－２の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J37"/>
  <sheetViews>
    <sheetView showGridLines="0" tabSelected="1" view="pageBreakPreview" zoomScale="60" zoomScaleNormal="60" workbookViewId="0">
      <selection activeCell="C2" sqref="C2"/>
    </sheetView>
  </sheetViews>
  <sheetFormatPr defaultColWidth="8.88671875" defaultRowHeight="13.2" x14ac:dyDescent="0.2"/>
  <cols>
    <col min="1" max="2" width="2" style="67" customWidth="1"/>
    <col min="3" max="3" width="29.77734375" style="67" customWidth="1"/>
    <col min="4" max="5" width="22.33203125" style="67" customWidth="1"/>
    <col min="6" max="6" width="41.77734375" style="67" customWidth="1"/>
    <col min="7" max="7" width="10.44140625" style="67" customWidth="1"/>
    <col min="8" max="8" width="39.44140625" style="67" customWidth="1"/>
    <col min="9" max="9" width="15.109375" style="67" customWidth="1"/>
    <col min="10" max="10" width="17.21875" style="67" customWidth="1"/>
    <col min="11" max="11" width="13.33203125" style="67" customWidth="1"/>
    <col min="12" max="12" width="15.33203125" style="67" customWidth="1"/>
    <col min="13" max="14" width="9.88671875" style="67" customWidth="1"/>
    <col min="15" max="15" width="27.44140625" style="67" customWidth="1"/>
    <col min="16" max="16" width="8.88671875" style="67"/>
    <col min="17" max="17" width="16.88671875" style="67" bestFit="1" customWidth="1"/>
    <col min="18" max="16384" width="8.88671875" style="67"/>
  </cols>
  <sheetData>
    <row r="1" spans="3:10" ht="19.95" customHeight="1" x14ac:dyDescent="0.2">
      <c r="C1" s="275" t="s">
        <v>272</v>
      </c>
      <c r="D1" s="275"/>
      <c r="E1" s="275"/>
      <c r="F1" s="275"/>
      <c r="H1" s="67" t="s">
        <v>393</v>
      </c>
    </row>
    <row r="2" spans="3:10" ht="19.95" customHeight="1" x14ac:dyDescent="0.2">
      <c r="C2" s="140" t="s">
        <v>296</v>
      </c>
    </row>
    <row r="3" spans="3:10" ht="19.95" customHeight="1" x14ac:dyDescent="0.2">
      <c r="C3" s="141" t="s">
        <v>320</v>
      </c>
    </row>
    <row r="4" spans="3:10" ht="30" customHeight="1" x14ac:dyDescent="0.2">
      <c r="C4" s="142" t="s">
        <v>297</v>
      </c>
      <c r="D4" s="282" t="s">
        <v>323</v>
      </c>
      <c r="E4" s="283"/>
      <c r="F4" s="142" t="s">
        <v>298</v>
      </c>
      <c r="H4" s="160" t="s">
        <v>321</v>
      </c>
    </row>
    <row r="5" spans="3:10" ht="30" customHeight="1" x14ac:dyDescent="0.2">
      <c r="C5" s="135" t="s">
        <v>299</v>
      </c>
      <c r="D5" s="278" t="s">
        <v>314</v>
      </c>
      <c r="E5" s="279"/>
      <c r="F5" s="143"/>
      <c r="H5" s="127" t="str">
        <f>D5</f>
        <v>令和○年○月○日</v>
      </c>
    </row>
    <row r="6" spans="3:10" ht="30" customHeight="1" x14ac:dyDescent="0.2">
      <c r="C6" s="135" t="s">
        <v>293</v>
      </c>
      <c r="D6" s="290" t="s">
        <v>315</v>
      </c>
      <c r="E6" s="291"/>
      <c r="F6" s="135"/>
      <c r="H6" s="128" t="str">
        <f t="shared" ref="H6:H9" si="0">D6</f>
        <v>○○市○○町○○番地</v>
      </c>
    </row>
    <row r="7" spans="3:10" ht="30" customHeight="1" x14ac:dyDescent="0.2">
      <c r="C7" s="135" t="s">
        <v>294</v>
      </c>
      <c r="D7" s="292" t="s">
        <v>316</v>
      </c>
      <c r="E7" s="293"/>
      <c r="F7" s="135"/>
      <c r="H7" s="128" t="str">
        <f t="shared" si="0"/>
        <v>株式会社○○○○</v>
      </c>
    </row>
    <row r="8" spans="3:10" ht="30" customHeight="1" x14ac:dyDescent="0.2">
      <c r="C8" s="135" t="s">
        <v>300</v>
      </c>
      <c r="D8" s="290" t="s">
        <v>317</v>
      </c>
      <c r="E8" s="291"/>
      <c r="F8" s="135"/>
      <c r="H8" s="128" t="str">
        <f t="shared" si="0"/>
        <v>代表取締役　○○○○</v>
      </c>
    </row>
    <row r="9" spans="3:10" ht="30" customHeight="1" x14ac:dyDescent="0.2">
      <c r="C9" s="135" t="s">
        <v>301</v>
      </c>
      <c r="D9" s="290" t="s">
        <v>318</v>
      </c>
      <c r="E9" s="291"/>
      <c r="F9" s="135"/>
      <c r="H9" s="128" t="str">
        <f t="shared" si="0"/>
        <v>000-000-0000</v>
      </c>
    </row>
    <row r="10" spans="3:10" ht="30" customHeight="1" x14ac:dyDescent="0.2">
      <c r="C10" s="135" t="s">
        <v>302</v>
      </c>
      <c r="D10" s="290" t="s">
        <v>319</v>
      </c>
      <c r="E10" s="291"/>
      <c r="F10" s="135"/>
      <c r="H10" s="128" t="str">
        <f>D10</f>
        <v>○○○○</v>
      </c>
    </row>
    <row r="11" spans="3:10" ht="30" customHeight="1" x14ac:dyDescent="0.2">
      <c r="C11" s="135"/>
      <c r="D11" s="290"/>
      <c r="E11" s="291"/>
      <c r="F11" s="206"/>
      <c r="H11" s="128">
        <f>D11</f>
        <v>0</v>
      </c>
    </row>
    <row r="12" spans="3:10" ht="30" customHeight="1" x14ac:dyDescent="0.2">
      <c r="C12" s="142" t="s">
        <v>303</v>
      </c>
      <c r="D12" s="282" t="s">
        <v>324</v>
      </c>
      <c r="E12" s="283"/>
      <c r="F12" s="142" t="s">
        <v>136</v>
      </c>
      <c r="H12" s="160" t="s">
        <v>322</v>
      </c>
    </row>
    <row r="13" spans="3:10" ht="30" customHeight="1" x14ac:dyDescent="0.2">
      <c r="C13" s="125" t="s">
        <v>135</v>
      </c>
      <c r="D13" s="278" t="s">
        <v>394</v>
      </c>
      <c r="E13" s="279"/>
      <c r="F13" s="134" t="s">
        <v>383</v>
      </c>
      <c r="G13" s="126"/>
      <c r="H13" s="127" t="str">
        <f>D13</f>
        <v>令和○年○月○日</v>
      </c>
      <c r="I13" s="73"/>
      <c r="J13" s="73"/>
    </row>
    <row r="14" spans="3:10" ht="30" customHeight="1" x14ac:dyDescent="0.2">
      <c r="C14" s="125" t="s">
        <v>133</v>
      </c>
      <c r="D14" s="280" t="s">
        <v>312</v>
      </c>
      <c r="E14" s="281"/>
      <c r="F14" s="134" t="s">
        <v>382</v>
      </c>
      <c r="G14" s="126"/>
      <c r="H14" s="128" t="str">
        <f t="shared" ref="H14:H15" si="1">D14</f>
        <v xml:space="preserve">第○○-○○○○○-○○○○号 </v>
      </c>
      <c r="I14" s="73"/>
      <c r="J14" s="73"/>
    </row>
    <row r="15" spans="3:10" ht="30" customHeight="1" x14ac:dyDescent="0.2">
      <c r="C15" s="131" t="s">
        <v>134</v>
      </c>
      <c r="D15" s="286" t="s">
        <v>313</v>
      </c>
      <c r="E15" s="287"/>
      <c r="F15" s="128" t="s">
        <v>381</v>
      </c>
      <c r="G15" s="126"/>
      <c r="H15" s="128" t="str">
        <f t="shared" si="1"/>
        <v>○○○○○○○○○○○○工事</v>
      </c>
      <c r="I15" s="73"/>
      <c r="J15" s="73"/>
    </row>
    <row r="16" spans="3:10" ht="30" customHeight="1" x14ac:dyDescent="0.2">
      <c r="C16" s="129" t="s">
        <v>243</v>
      </c>
      <c r="D16" s="284" t="s">
        <v>172</v>
      </c>
      <c r="E16" s="285"/>
      <c r="F16" s="161" t="s">
        <v>139</v>
      </c>
      <c r="H16" s="130">
        <f>IF(OR(D16="一般土木工事",D16="舗装工事"),1,IF(OR(D16="建築工事",D16="電気設備工事",D16="暖冷房衛生設備工事"),2,10))</f>
        <v>10</v>
      </c>
      <c r="I16" t="s">
        <v>380</v>
      </c>
    </row>
    <row r="17" spans="3:9" ht="30" customHeight="1" x14ac:dyDescent="0.2">
      <c r="C17" s="131" t="s">
        <v>196</v>
      </c>
      <c r="D17" s="288"/>
      <c r="E17" s="289"/>
      <c r="F17" s="161"/>
      <c r="H17" s="130" t="e">
        <f>VLOOKUP(D17,リスト2!G3:I6,3,FALSE)</f>
        <v>#N/A</v>
      </c>
      <c r="I17" s="67" t="s">
        <v>236</v>
      </c>
    </row>
    <row r="18" spans="3:9" ht="30" customHeight="1" x14ac:dyDescent="0.2">
      <c r="C18" s="276" t="s">
        <v>295</v>
      </c>
      <c r="D18" s="132" t="s">
        <v>123</v>
      </c>
      <c r="E18" s="132" t="s">
        <v>129</v>
      </c>
      <c r="F18" s="276" t="s">
        <v>195</v>
      </c>
    </row>
    <row r="19" spans="3:9" ht="30" customHeight="1" x14ac:dyDescent="0.2">
      <c r="C19" s="277"/>
      <c r="D19" s="133" t="s">
        <v>172</v>
      </c>
      <c r="E19" s="133" t="s">
        <v>172</v>
      </c>
      <c r="F19" s="277"/>
    </row>
    <row r="20" spans="3:9" ht="30" customHeight="1" x14ac:dyDescent="0.2">
      <c r="C20" s="134" t="s">
        <v>131</v>
      </c>
      <c r="D20" s="135" t="str">
        <f>VLOOKUP(D19,リスト2!$C$3:$E$64,2,FALSE)</f>
        <v>-</v>
      </c>
      <c r="E20" s="135" t="str">
        <f>VLOOKUP(E19,リスト2!$C$3:$E$64,2,FALSE)</f>
        <v>-</v>
      </c>
      <c r="F20" s="135" t="s">
        <v>242</v>
      </c>
    </row>
    <row r="21" spans="3:9" ht="30" customHeight="1" x14ac:dyDescent="0.2">
      <c r="C21" s="134" t="s">
        <v>132</v>
      </c>
      <c r="D21" s="135" t="str">
        <f>VLOOKUP(D19,リスト2!$C$3:$E$64,3,FALSE)</f>
        <v>-</v>
      </c>
      <c r="E21" s="135" t="str">
        <f>VLOOKUP(E19,リスト2!$C$3:$E$64,3,FALSE)</f>
        <v>-</v>
      </c>
      <c r="F21" s="135" t="s">
        <v>130</v>
      </c>
    </row>
    <row r="22" spans="3:9" ht="30" customHeight="1" x14ac:dyDescent="0.2">
      <c r="F22" s="136" t="s">
        <v>241</v>
      </c>
    </row>
    <row r="23" spans="3:9" ht="30" customHeight="1" x14ac:dyDescent="0.2">
      <c r="C23" s="135" t="s">
        <v>127</v>
      </c>
      <c r="D23" s="137" t="e">
        <f>'2.様式第1号、第11号-2(地域密着型)'!V47</f>
        <v>#N/A</v>
      </c>
      <c r="E23" s="135" t="s">
        <v>128</v>
      </c>
      <c r="F23" s="144" t="s">
        <v>304</v>
      </c>
    </row>
    <row r="24" spans="3:9" ht="20.100000000000001" customHeight="1" x14ac:dyDescent="0.2">
      <c r="D24" s="138"/>
      <c r="F24" s="139"/>
    </row>
    <row r="25" spans="3:9" ht="20.100000000000001" customHeight="1" x14ac:dyDescent="0.2">
      <c r="D25" s="138"/>
      <c r="F25" s="139"/>
    </row>
    <row r="26" spans="3:9" ht="20.100000000000001" customHeight="1" x14ac:dyDescent="0.2">
      <c r="D26" s="138"/>
      <c r="F26" s="139"/>
    </row>
    <row r="27" spans="3:9" ht="20.100000000000001" customHeight="1" x14ac:dyDescent="0.2">
      <c r="D27" s="138"/>
      <c r="F27" s="139"/>
    </row>
    <row r="28" spans="3:9" ht="20.100000000000001" customHeight="1" x14ac:dyDescent="0.2"/>
    <row r="33" s="67" customFormat="1" x14ac:dyDescent="0.2"/>
    <row r="34" s="67" customFormat="1" x14ac:dyDescent="0.2"/>
    <row r="35" s="67" customFormat="1" x14ac:dyDescent="0.2"/>
    <row r="36" s="67" customFormat="1" x14ac:dyDescent="0.2"/>
    <row r="37" s="67" customFormat="1" x14ac:dyDescent="0.2"/>
  </sheetData>
  <sheetProtection algorithmName="SHA-512" hashValue="YbTAhc1O6mhvmttL0/cKiYyxJxgQmUlqKipAV70p7H7/idyi24uIfPie4oQiTgdpzZ4yxkt2bXOtJ6QVysO0sQ==" saltValue="Xy8YtCXRz0hQSrWua5KL1Q==" spinCount="100000" sheet="1" objects="1" scenarios="1"/>
  <mergeCells count="17">
    <mergeCell ref="F18:F19"/>
    <mergeCell ref="C1:F1"/>
    <mergeCell ref="C18:C19"/>
    <mergeCell ref="D13:E13"/>
    <mergeCell ref="D14:E14"/>
    <mergeCell ref="D12:E12"/>
    <mergeCell ref="D16:E16"/>
    <mergeCell ref="D15:E15"/>
    <mergeCell ref="D17:E17"/>
    <mergeCell ref="D4:E4"/>
    <mergeCell ref="D5:E5"/>
    <mergeCell ref="D6:E6"/>
    <mergeCell ref="D7:E7"/>
    <mergeCell ref="D8:E8"/>
    <mergeCell ref="D9:E9"/>
    <mergeCell ref="D10:E10"/>
    <mergeCell ref="D11:E11"/>
  </mergeCells>
  <phoneticPr fontId="34"/>
  <printOptions horizontalCentered="1"/>
  <pageMargins left="0.59055118110236227" right="0.59055118110236227" top="0.59055118110236227"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114300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693420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792480</xdr:colOff>
                    <xdr:row>5</xdr:row>
                    <xdr:rowOff>327660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121920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327660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1760220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リスト2!$C$3:$C$64</xm:f>
          </x14:formula1>
          <xm:sqref>D19:E19</xm:sqref>
        </x14:dataValidation>
        <x14:dataValidation type="list" allowBlank="1" showInputMessage="1" showErrorMessage="1" xr:uid="{00000000-0002-0000-0000-000001000000}">
          <x14:formula1>
            <xm:f>リスト!$H$4:$H$9</xm:f>
          </x14:formula1>
          <xm:sqref>D16:E16</xm:sqref>
        </x14:dataValidation>
        <x14:dataValidation type="list" allowBlank="1" showInputMessage="1" showErrorMessage="1" xr:uid="{00000000-0002-0000-0000-000002000000}">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07"/>
  <sheetViews>
    <sheetView showGridLines="0" view="pageBreakPreview" zoomScale="70" zoomScaleNormal="60" zoomScaleSheetLayoutView="70" workbookViewId="0">
      <selection activeCell="J66" sqref="J66"/>
    </sheetView>
  </sheetViews>
  <sheetFormatPr defaultColWidth="8.88671875" defaultRowHeight="13.2" x14ac:dyDescent="0.2"/>
  <cols>
    <col min="1" max="1" width="2" customWidth="1"/>
    <col min="2" max="3" width="3.44140625" customWidth="1"/>
    <col min="4" max="4" width="13" customWidth="1"/>
    <col min="5" max="6" width="7.21875" customWidth="1"/>
    <col min="7" max="7" width="19.77734375" customWidth="1"/>
    <col min="8" max="8" width="4.44140625" customWidth="1"/>
    <col min="9" max="9" width="3.77734375" customWidth="1"/>
    <col min="10" max="10" width="4.33203125" customWidth="1"/>
    <col min="11" max="12" width="3.77734375" customWidth="1"/>
    <col min="13" max="13" width="3.33203125" customWidth="1"/>
    <col min="14" max="17" width="3.77734375" customWidth="1"/>
    <col min="18" max="18" width="11.88671875" customWidth="1"/>
    <col min="19" max="19" width="15.6640625" customWidth="1"/>
    <col min="20" max="21" width="9" customWidth="1"/>
    <col min="22" max="22" width="25" customWidth="1"/>
    <col min="23" max="23" width="10.6640625" customWidth="1"/>
    <col min="24" max="24" width="14" customWidth="1"/>
    <col min="25" max="26" width="9" customWidth="1"/>
    <col min="27" max="29" width="9.44140625" customWidth="1"/>
    <col min="30" max="30" width="10.33203125" customWidth="1"/>
    <col min="31" max="31" width="11.6640625" customWidth="1"/>
    <col min="32" max="32" width="11.77734375" customWidth="1"/>
    <col min="33" max="33" width="9.44140625" customWidth="1"/>
    <col min="34" max="34" width="12.88671875" customWidth="1"/>
    <col min="36" max="36" width="12.88671875" customWidth="1"/>
    <col min="37" max="37" width="12.77734375" customWidth="1"/>
    <col min="38" max="38" width="12.21875" customWidth="1"/>
    <col min="39" max="39" width="11.44140625" customWidth="1"/>
    <col min="42" max="42" width="11.6640625" customWidth="1"/>
    <col min="43" max="43" width="12.109375" customWidth="1"/>
    <col min="45" max="45" width="12.33203125" customWidth="1"/>
  </cols>
  <sheetData>
    <row r="1" spans="1:19" ht="15" customHeight="1" x14ac:dyDescent="0.2">
      <c r="S1" s="207" t="str">
        <f>'1.基本データ(このシートは削除しないこと！)'!H1</f>
        <v>令和７年度様式（令和７年４月１日以降の入札公告から適用）</v>
      </c>
    </row>
    <row r="2" spans="1:19" s="208" customFormat="1" ht="15" customHeight="1" x14ac:dyDescent="0.2"/>
    <row r="3" spans="1:19" s="208" customFormat="1" ht="15" customHeight="1" x14ac:dyDescent="0.2"/>
    <row r="4" spans="1:19" s="208" customFormat="1" ht="19.95" customHeight="1" x14ac:dyDescent="0.2">
      <c r="C4" s="209" t="s">
        <v>358</v>
      </c>
    </row>
    <row r="5" spans="1:19" s="208" customFormat="1" ht="38.4" customHeight="1" x14ac:dyDescent="0.2">
      <c r="A5" s="338" t="s">
        <v>359</v>
      </c>
      <c r="B5" s="338"/>
      <c r="C5" s="338"/>
      <c r="D5" s="338"/>
      <c r="E5" s="338"/>
      <c r="F5" s="338"/>
      <c r="G5" s="338"/>
      <c r="H5" s="338"/>
      <c r="I5" s="338"/>
      <c r="J5" s="338"/>
      <c r="K5" s="338"/>
      <c r="L5" s="338"/>
      <c r="M5" s="338"/>
      <c r="N5" s="338"/>
      <c r="O5" s="338"/>
      <c r="P5" s="338"/>
      <c r="Q5" s="338"/>
      <c r="R5" s="338"/>
      <c r="S5" s="338"/>
    </row>
    <row r="6" spans="1:19" s="208" customFormat="1" ht="19.95" customHeight="1" x14ac:dyDescent="0.2">
      <c r="A6" s="169"/>
      <c r="B6" s="210"/>
      <c r="C6" s="209"/>
      <c r="D6" s="209"/>
      <c r="E6" s="209"/>
      <c r="F6" s="209"/>
      <c r="G6" s="209"/>
      <c r="H6" s="209"/>
      <c r="I6" s="209"/>
      <c r="J6" s="209"/>
      <c r="K6" s="209"/>
      <c r="L6" s="209"/>
      <c r="M6" s="209"/>
      <c r="N6" s="209"/>
      <c r="O6" s="211"/>
      <c r="P6" s="211"/>
      <c r="Q6" s="339"/>
      <c r="R6" s="339"/>
      <c r="S6" s="339"/>
    </row>
    <row r="7" spans="1:19" s="208" customFormat="1" ht="19.95" customHeight="1" x14ac:dyDescent="0.2">
      <c r="A7" s="170"/>
      <c r="B7" s="212"/>
      <c r="C7" s="210"/>
      <c r="D7" s="210"/>
      <c r="E7" s="209"/>
      <c r="F7" s="209"/>
      <c r="G7" s="209"/>
      <c r="H7" s="209"/>
      <c r="I7" s="209"/>
      <c r="J7" s="209"/>
      <c r="K7" s="209"/>
      <c r="L7" s="209"/>
      <c r="M7" s="209"/>
      <c r="N7" s="209"/>
      <c r="O7" s="209"/>
      <c r="P7" s="209"/>
      <c r="Q7" s="209"/>
      <c r="R7" s="209"/>
      <c r="S7" s="209"/>
    </row>
    <row r="8" spans="1:19" s="208" customFormat="1" ht="19.95" customHeight="1" x14ac:dyDescent="0.2">
      <c r="B8" s="210"/>
      <c r="C8" s="210" t="s">
        <v>16</v>
      </c>
      <c r="D8" s="210"/>
      <c r="E8" s="209"/>
      <c r="F8" s="209"/>
      <c r="G8" s="209"/>
      <c r="H8" s="209"/>
      <c r="I8" s="209"/>
      <c r="J8" s="209"/>
      <c r="K8" s="209"/>
      <c r="L8" s="209"/>
      <c r="M8" s="209"/>
      <c r="N8" s="209"/>
      <c r="O8" s="209"/>
      <c r="P8" s="209"/>
      <c r="Q8" s="209"/>
      <c r="R8" s="209"/>
      <c r="S8" s="209"/>
    </row>
    <row r="9" spans="1:19" s="208" customFormat="1" ht="19.95" customHeight="1" x14ac:dyDescent="0.2">
      <c r="A9" s="170"/>
      <c r="B9" s="212"/>
      <c r="C9" s="210"/>
      <c r="D9" s="210"/>
      <c r="E9" s="209"/>
      <c r="F9" s="209"/>
      <c r="G9" s="209"/>
      <c r="H9" s="209"/>
      <c r="I9" s="209"/>
      <c r="J9" s="209"/>
      <c r="K9" s="209"/>
      <c r="L9" s="209"/>
      <c r="M9" s="209"/>
      <c r="N9" s="209"/>
      <c r="O9" s="209"/>
      <c r="P9" s="209"/>
      <c r="Q9" s="209"/>
      <c r="R9" s="209"/>
      <c r="S9" s="209"/>
    </row>
    <row r="10" spans="1:19" s="208" customFormat="1" ht="25.05" customHeight="1" x14ac:dyDescent="0.2">
      <c r="A10" s="170"/>
      <c r="B10" s="210"/>
      <c r="C10" s="209"/>
      <c r="D10" s="209"/>
      <c r="E10" s="209"/>
      <c r="F10" s="209"/>
      <c r="G10" s="209"/>
      <c r="H10" s="209"/>
      <c r="I10" s="209"/>
      <c r="J10" s="209"/>
      <c r="K10" s="209"/>
      <c r="L10" s="298" t="str">
        <f>IF('1.基本データ(このシートは削除しないこと！)'!H11=0,"",'1.基本データ(このシートは削除しないこと！)'!H11)</f>
        <v/>
      </c>
      <c r="M10" s="298"/>
      <c r="N10" s="298"/>
      <c r="O10" s="298"/>
      <c r="P10" s="298"/>
      <c r="Q10" s="298"/>
      <c r="R10" s="298"/>
      <c r="S10" s="298"/>
    </row>
    <row r="11" spans="1:19" s="208" customFormat="1" ht="25.05" customHeight="1" x14ac:dyDescent="0.2">
      <c r="B11" s="209"/>
      <c r="C11" s="209"/>
      <c r="D11" s="209"/>
      <c r="E11" s="209"/>
      <c r="F11" s="209"/>
      <c r="G11" s="209"/>
      <c r="H11" s="209"/>
      <c r="I11" s="209"/>
      <c r="J11" s="209"/>
      <c r="K11" s="213" t="str">
        <f>IF('1.基本データ(このシートは削除しないこと！)'!H11=0," ","代表構成員")</f>
        <v xml:space="preserve"> </v>
      </c>
      <c r="L11" s="340" t="str">
        <f>'1.基本データ(このシートは削除しないこと！)'!H6</f>
        <v>○○市○○町○○番地</v>
      </c>
      <c r="M11" s="340"/>
      <c r="N11" s="340"/>
      <c r="O11" s="340"/>
      <c r="P11" s="340"/>
      <c r="Q11" s="340"/>
      <c r="R11" s="340"/>
      <c r="S11" s="340"/>
    </row>
    <row r="12" spans="1:19" s="208" customFormat="1" ht="25.05" customHeight="1" x14ac:dyDescent="0.25">
      <c r="A12" s="169"/>
      <c r="B12" s="209"/>
      <c r="C12" s="209"/>
      <c r="D12" s="209"/>
      <c r="E12" s="209"/>
      <c r="F12" s="209"/>
      <c r="G12" s="341" t="s">
        <v>360</v>
      </c>
      <c r="H12" s="341"/>
      <c r="I12" s="341"/>
      <c r="J12" s="341"/>
      <c r="K12" s="341"/>
      <c r="L12" s="340"/>
      <c r="M12" s="340"/>
      <c r="N12" s="340"/>
      <c r="O12" s="340"/>
      <c r="P12" s="340"/>
      <c r="Q12" s="340"/>
      <c r="R12" s="340"/>
      <c r="S12" s="340"/>
    </row>
    <row r="13" spans="1:19" s="208" customFormat="1" ht="25.05" customHeight="1" x14ac:dyDescent="0.25">
      <c r="A13" s="169"/>
      <c r="B13" s="209"/>
      <c r="C13" s="209"/>
      <c r="D13" s="209"/>
      <c r="E13" s="209"/>
      <c r="F13" s="209"/>
      <c r="G13" s="341" t="s">
        <v>7</v>
      </c>
      <c r="H13" s="341"/>
      <c r="I13" s="341"/>
      <c r="J13" s="341"/>
      <c r="K13" s="341"/>
      <c r="L13" s="342" t="str">
        <f>'1.基本データ(このシートは削除しないこと！)'!H7</f>
        <v>株式会社○○○○</v>
      </c>
      <c r="M13" s="342"/>
      <c r="N13" s="342"/>
      <c r="O13" s="342"/>
      <c r="P13" s="342"/>
      <c r="Q13" s="342"/>
      <c r="R13" s="342"/>
      <c r="S13" s="342"/>
    </row>
    <row r="14" spans="1:19" s="208" customFormat="1" ht="25.05" customHeight="1" x14ac:dyDescent="0.25">
      <c r="A14" s="169"/>
      <c r="B14" s="209"/>
      <c r="C14" s="209"/>
      <c r="D14" s="209"/>
      <c r="E14" s="209"/>
      <c r="F14" s="209"/>
      <c r="G14" s="341" t="s">
        <v>14</v>
      </c>
      <c r="H14" s="341"/>
      <c r="I14" s="341"/>
      <c r="J14" s="341"/>
      <c r="K14" s="341"/>
      <c r="L14" s="342" t="str">
        <f>'1.基本データ(このシートは削除しないこと！)'!H8</f>
        <v>代表取締役　○○○○</v>
      </c>
      <c r="M14" s="342"/>
      <c r="N14" s="342"/>
      <c r="O14" s="342"/>
      <c r="P14" s="342"/>
      <c r="Q14" s="342"/>
      <c r="R14" s="342"/>
      <c r="S14" s="342"/>
    </row>
    <row r="15" spans="1:19" s="208" customFormat="1" ht="25.05" customHeight="1" x14ac:dyDescent="0.2">
      <c r="A15" s="169"/>
      <c r="B15" s="214"/>
      <c r="C15" s="215"/>
      <c r="D15" s="210"/>
      <c r="E15" s="209"/>
      <c r="F15" s="209"/>
      <c r="G15" s="216"/>
      <c r="H15" s="216"/>
      <c r="I15" s="216"/>
      <c r="J15" s="216"/>
      <c r="K15" s="216"/>
      <c r="L15" s="216"/>
      <c r="M15" s="216"/>
      <c r="N15" s="216"/>
      <c r="O15" s="216"/>
      <c r="P15" s="216"/>
      <c r="Q15" s="216"/>
      <c r="R15" s="216"/>
      <c r="S15" s="216"/>
    </row>
    <row r="16" spans="1:19" s="208" customFormat="1" ht="25.05" customHeight="1" x14ac:dyDescent="0.2">
      <c r="A16" s="169"/>
      <c r="B16" s="209"/>
      <c r="C16" s="209"/>
      <c r="D16" s="210"/>
      <c r="E16" s="209"/>
      <c r="F16" s="209"/>
      <c r="G16" s="297" t="s">
        <v>8</v>
      </c>
      <c r="H16" s="297"/>
      <c r="I16" s="297"/>
      <c r="J16" s="297"/>
      <c r="K16" s="297"/>
      <c r="L16" s="298" t="str">
        <f>'1.基本データ(このシートは削除しないこと！)'!H9</f>
        <v>000-000-0000</v>
      </c>
      <c r="M16" s="298"/>
      <c r="N16" s="298"/>
      <c r="O16" s="298"/>
      <c r="P16" s="298"/>
      <c r="Q16" s="298"/>
      <c r="R16" s="298"/>
      <c r="S16" s="298"/>
    </row>
    <row r="17" spans="1:19" s="208" customFormat="1" ht="25.05" customHeight="1" x14ac:dyDescent="0.2">
      <c r="A17" s="169"/>
      <c r="B17" s="209"/>
      <c r="C17" s="209"/>
      <c r="D17" s="210"/>
      <c r="E17" s="209"/>
      <c r="F17" s="209"/>
      <c r="G17" s="299" t="s">
        <v>15</v>
      </c>
      <c r="H17" s="299"/>
      <c r="I17" s="299"/>
      <c r="J17" s="299"/>
      <c r="K17" s="299"/>
      <c r="L17" s="300" t="str">
        <f>'1.基本データ(このシートは削除しないこと！)'!H10</f>
        <v>○○○○</v>
      </c>
      <c r="M17" s="300"/>
      <c r="N17" s="300"/>
      <c r="O17" s="300"/>
      <c r="P17" s="300"/>
      <c r="Q17" s="300"/>
      <c r="R17" s="300"/>
      <c r="S17" s="300"/>
    </row>
    <row r="18" spans="1:19" s="208" customFormat="1" ht="19.95" customHeight="1" x14ac:dyDescent="0.2">
      <c r="A18" s="170"/>
      <c r="B18" s="212"/>
      <c r="C18" s="210"/>
      <c r="D18" s="210"/>
      <c r="E18" s="209"/>
      <c r="F18" s="209"/>
      <c r="G18" s="209"/>
      <c r="H18" s="209"/>
      <c r="I18" s="209"/>
      <c r="J18" s="209"/>
      <c r="K18" s="209"/>
      <c r="L18" s="209"/>
      <c r="M18" s="209"/>
      <c r="N18" s="209"/>
      <c r="O18" s="209"/>
      <c r="P18" s="209"/>
      <c r="Q18" s="209"/>
      <c r="R18" s="209"/>
      <c r="S18" s="209"/>
    </row>
    <row r="19" spans="1:19" s="208" customFormat="1" ht="19.95" customHeight="1" x14ac:dyDescent="0.2">
      <c r="B19" s="209"/>
      <c r="C19" s="209"/>
      <c r="D19" s="209"/>
      <c r="E19" s="209"/>
      <c r="F19" s="209"/>
      <c r="G19" s="209"/>
      <c r="H19" s="209"/>
      <c r="I19" s="209"/>
      <c r="J19" s="209"/>
      <c r="K19" s="209"/>
      <c r="L19" s="209"/>
      <c r="M19" s="209"/>
      <c r="N19" s="209"/>
      <c r="O19" s="209"/>
      <c r="P19" s="209"/>
      <c r="Q19" s="209"/>
      <c r="R19" s="209"/>
      <c r="S19" s="209"/>
    </row>
    <row r="20" spans="1:19" s="208" customFormat="1" ht="19.95" customHeight="1" x14ac:dyDescent="0.2">
      <c r="B20" s="209"/>
      <c r="C20" s="301"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301"/>
      <c r="E20" s="301"/>
      <c r="F20" s="301"/>
      <c r="G20" s="301"/>
      <c r="H20" s="301"/>
      <c r="I20" s="301"/>
      <c r="J20" s="301"/>
      <c r="K20" s="301"/>
      <c r="L20" s="301"/>
      <c r="M20" s="301"/>
      <c r="N20" s="301"/>
      <c r="O20" s="301"/>
      <c r="P20" s="301"/>
      <c r="Q20" s="301"/>
      <c r="R20" s="301"/>
      <c r="S20" s="301"/>
    </row>
    <row r="21" spans="1:19" s="208" customFormat="1" ht="19.95" customHeight="1" x14ac:dyDescent="0.2">
      <c r="B21" s="209"/>
      <c r="C21" s="301"/>
      <c r="D21" s="301"/>
      <c r="E21" s="301"/>
      <c r="F21" s="301"/>
      <c r="G21" s="301"/>
      <c r="H21" s="301"/>
      <c r="I21" s="301"/>
      <c r="J21" s="301"/>
      <c r="K21" s="301"/>
      <c r="L21" s="301"/>
      <c r="M21" s="301"/>
      <c r="N21" s="301"/>
      <c r="O21" s="301"/>
      <c r="P21" s="301"/>
      <c r="Q21" s="301"/>
      <c r="R21" s="301"/>
      <c r="S21" s="301"/>
    </row>
    <row r="22" spans="1:19" s="208" customFormat="1" ht="19.95" customHeight="1" x14ac:dyDescent="0.2">
      <c r="B22" s="209"/>
      <c r="C22" s="301"/>
      <c r="D22" s="301"/>
      <c r="E22" s="301"/>
      <c r="F22" s="301"/>
      <c r="G22" s="301"/>
      <c r="H22" s="301"/>
      <c r="I22" s="301"/>
      <c r="J22" s="301"/>
      <c r="K22" s="301"/>
      <c r="L22" s="301"/>
      <c r="M22" s="301"/>
      <c r="N22" s="301"/>
      <c r="O22" s="301"/>
      <c r="P22" s="301"/>
      <c r="Q22" s="301"/>
      <c r="R22" s="301"/>
      <c r="S22" s="301"/>
    </row>
    <row r="23" spans="1:19" s="208" customFormat="1" ht="19.95" customHeight="1" x14ac:dyDescent="0.2">
      <c r="B23" s="209"/>
      <c r="C23" s="301"/>
      <c r="D23" s="301"/>
      <c r="E23" s="301"/>
      <c r="F23" s="301"/>
      <c r="G23" s="301"/>
      <c r="H23" s="301"/>
      <c r="I23" s="301"/>
      <c r="J23" s="301"/>
      <c r="K23" s="301"/>
      <c r="L23" s="301"/>
      <c r="M23" s="301"/>
      <c r="N23" s="301"/>
      <c r="O23" s="301"/>
      <c r="P23" s="301"/>
      <c r="Q23" s="301"/>
      <c r="R23" s="301"/>
      <c r="S23" s="301"/>
    </row>
    <row r="24" spans="1:19" s="208" customFormat="1" ht="19.95" customHeight="1" x14ac:dyDescent="0.2">
      <c r="B24" s="209"/>
      <c r="C24" s="301"/>
      <c r="D24" s="301"/>
      <c r="E24" s="301"/>
      <c r="F24" s="301"/>
      <c r="G24" s="301"/>
      <c r="H24" s="301"/>
      <c r="I24" s="301"/>
      <c r="J24" s="301"/>
      <c r="K24" s="301"/>
      <c r="L24" s="301"/>
      <c r="M24" s="301"/>
      <c r="N24" s="301"/>
      <c r="O24" s="301"/>
      <c r="P24" s="301"/>
      <c r="Q24" s="301"/>
      <c r="R24" s="301"/>
      <c r="S24" s="301"/>
    </row>
    <row r="25" spans="1:19" s="208" customFormat="1" ht="19.95" customHeight="1" x14ac:dyDescent="0.2">
      <c r="B25" s="209"/>
      <c r="C25" s="209"/>
      <c r="D25" s="209"/>
      <c r="E25" s="209"/>
      <c r="F25" s="209"/>
      <c r="G25" s="209"/>
      <c r="H25" s="209"/>
      <c r="I25" s="209"/>
      <c r="J25" s="209"/>
      <c r="K25" s="209"/>
      <c r="L25" s="209"/>
      <c r="M25" s="209"/>
      <c r="N25" s="209"/>
      <c r="O25" s="209"/>
      <c r="P25" s="209"/>
      <c r="Q25" s="209"/>
      <c r="R25" s="209"/>
      <c r="S25" s="209"/>
    </row>
    <row r="26" spans="1:19" s="217" customFormat="1" ht="22.95" customHeight="1" x14ac:dyDescent="0.2">
      <c r="B26" s="209"/>
      <c r="C26" s="214" t="s">
        <v>365</v>
      </c>
      <c r="D26" s="214"/>
      <c r="E26" s="214"/>
      <c r="F26" s="214"/>
      <c r="G26" s="218"/>
      <c r="H26" s="218"/>
      <c r="I26" s="218"/>
      <c r="J26" s="218"/>
      <c r="K26" s="218"/>
      <c r="L26" s="218"/>
      <c r="M26" s="218"/>
      <c r="N26" s="218"/>
      <c r="O26" s="218"/>
      <c r="P26" s="218"/>
      <c r="Q26" s="218"/>
      <c r="R26" s="218"/>
      <c r="S26" s="218"/>
    </row>
    <row r="27" spans="1:19" s="217" customFormat="1" ht="22.95" customHeight="1" x14ac:dyDescent="0.2">
      <c r="B27" s="209"/>
      <c r="C27" s="214" t="s">
        <v>361</v>
      </c>
      <c r="D27" s="214"/>
      <c r="E27" s="214"/>
      <c r="F27" s="214"/>
      <c r="G27" s="218"/>
      <c r="H27" s="218"/>
      <c r="I27" s="218"/>
      <c r="J27" s="218"/>
      <c r="K27" s="218"/>
      <c r="L27" s="218"/>
      <c r="M27" s="218"/>
      <c r="N27" s="218"/>
      <c r="O27" s="218"/>
      <c r="P27" s="218"/>
      <c r="Q27" s="218"/>
      <c r="R27" s="218"/>
      <c r="S27" s="218"/>
    </row>
    <row r="28" spans="1:19" s="217" customFormat="1" ht="22.95" customHeight="1" x14ac:dyDescent="0.2">
      <c r="B28" s="209"/>
      <c r="C28" s="210" t="s">
        <v>362</v>
      </c>
      <c r="D28" s="210"/>
      <c r="E28" s="210"/>
      <c r="F28" s="210"/>
      <c r="G28" s="209"/>
      <c r="H28" s="209"/>
      <c r="I28" s="209"/>
      <c r="J28" s="209"/>
      <c r="K28" s="209"/>
      <c r="L28" s="209"/>
      <c r="M28" s="209"/>
      <c r="N28" s="209"/>
      <c r="O28" s="209"/>
      <c r="P28" s="209"/>
      <c r="Q28" s="209"/>
      <c r="R28" s="209"/>
      <c r="S28" s="209"/>
    </row>
    <row r="29" spans="1:19" s="217" customFormat="1" ht="22.95" customHeight="1" x14ac:dyDescent="0.2">
      <c r="B29" s="209"/>
      <c r="C29" s="214"/>
      <c r="D29" s="214"/>
      <c r="E29" s="214"/>
      <c r="F29" s="214"/>
      <c r="G29" s="209"/>
      <c r="H29" s="209"/>
      <c r="I29" s="209"/>
      <c r="J29" s="209"/>
      <c r="K29" s="209"/>
      <c r="L29" s="209"/>
      <c r="M29" s="209"/>
      <c r="N29" s="209"/>
      <c r="O29" s="209"/>
      <c r="P29" s="209"/>
      <c r="Q29" s="209"/>
      <c r="R29" s="209"/>
      <c r="S29" s="209"/>
    </row>
    <row r="30" spans="1:19" s="217" customFormat="1" ht="22.95" customHeight="1" x14ac:dyDescent="0.2">
      <c r="B30" s="209"/>
      <c r="C30" s="210" t="s">
        <v>273</v>
      </c>
      <c r="D30" s="210"/>
      <c r="E30" s="210"/>
      <c r="F30" s="210"/>
      <c r="G30" s="209"/>
      <c r="H30" s="209"/>
      <c r="I30" s="209"/>
      <c r="J30" s="209"/>
      <c r="K30" s="209"/>
      <c r="L30" s="209"/>
      <c r="M30" s="209"/>
      <c r="N30" s="209"/>
      <c r="O30" s="209"/>
      <c r="P30" s="209"/>
      <c r="Q30" s="209"/>
      <c r="R30" s="209"/>
      <c r="S30" s="209"/>
    </row>
    <row r="31" spans="1:19" s="217" customFormat="1" ht="22.95" customHeight="1" x14ac:dyDescent="0.2">
      <c r="B31" s="209"/>
      <c r="C31" s="210" t="s">
        <v>363</v>
      </c>
      <c r="D31" s="210"/>
      <c r="E31" s="210"/>
      <c r="F31" s="210"/>
      <c r="G31" s="209"/>
      <c r="H31" s="209"/>
      <c r="I31" s="209"/>
      <c r="J31" s="209"/>
      <c r="K31" s="209"/>
      <c r="L31" s="209"/>
      <c r="M31" s="209"/>
      <c r="N31" s="209"/>
      <c r="O31" s="209"/>
      <c r="P31" s="209"/>
      <c r="Q31" s="209"/>
      <c r="R31" s="209"/>
      <c r="S31" s="209"/>
    </row>
    <row r="32" spans="1:19" s="217" customFormat="1" ht="22.95" customHeight="1" x14ac:dyDescent="0.2">
      <c r="B32" s="209"/>
      <c r="C32" s="210" t="s">
        <v>364</v>
      </c>
      <c r="D32" s="210"/>
      <c r="E32" s="210"/>
      <c r="F32" s="210"/>
      <c r="G32" s="209"/>
      <c r="H32" s="209"/>
      <c r="I32" s="209"/>
      <c r="J32" s="209"/>
      <c r="K32" s="209"/>
      <c r="L32" s="209"/>
      <c r="M32" s="209"/>
      <c r="N32" s="209"/>
      <c r="O32" s="209"/>
      <c r="P32" s="209"/>
      <c r="Q32" s="209"/>
      <c r="R32" s="209"/>
      <c r="S32" s="209"/>
    </row>
    <row r="33" spans="1:22" s="217" customFormat="1" ht="22.95" customHeight="1" x14ac:dyDescent="0.2">
      <c r="B33" s="209"/>
      <c r="C33" s="210"/>
      <c r="D33" s="210"/>
      <c r="E33" s="210"/>
      <c r="F33" s="210"/>
      <c r="G33" s="209"/>
      <c r="H33" s="209"/>
      <c r="I33" s="209"/>
      <c r="J33" s="209"/>
      <c r="K33" s="209"/>
      <c r="L33" s="209"/>
      <c r="M33" s="209"/>
      <c r="N33" s="209"/>
      <c r="O33" s="209"/>
      <c r="P33" s="209"/>
      <c r="Q33" s="209"/>
      <c r="R33" s="209"/>
      <c r="S33" s="209"/>
    </row>
    <row r="34" spans="1:22" s="217" customFormat="1" ht="22.95" customHeight="1" x14ac:dyDescent="0.2">
      <c r="B34" s="209"/>
      <c r="C34" s="210" t="s">
        <v>245</v>
      </c>
      <c r="D34" s="210"/>
      <c r="E34" s="210"/>
      <c r="F34" s="210"/>
      <c r="G34" s="209"/>
      <c r="H34" s="209"/>
      <c r="I34" s="209"/>
      <c r="J34" s="209"/>
      <c r="K34" s="209"/>
      <c r="L34" s="209"/>
      <c r="M34" s="209"/>
      <c r="N34" s="209"/>
      <c r="O34" s="209"/>
      <c r="P34" s="209"/>
      <c r="Q34" s="209"/>
      <c r="R34" s="209"/>
      <c r="S34" s="209"/>
    </row>
    <row r="35" spans="1:22" s="217" customFormat="1" ht="22.95" customHeight="1" x14ac:dyDescent="0.2">
      <c r="B35" s="209"/>
      <c r="C35" s="210" t="s">
        <v>9</v>
      </c>
      <c r="D35" s="210"/>
      <c r="E35" s="210"/>
      <c r="F35" s="210"/>
      <c r="G35" s="209"/>
      <c r="H35" s="209"/>
      <c r="I35" s="209"/>
      <c r="J35" s="209"/>
      <c r="K35" s="209"/>
      <c r="L35" s="209"/>
      <c r="M35" s="209"/>
      <c r="N35" s="209"/>
      <c r="O35" s="209"/>
      <c r="P35" s="209"/>
      <c r="Q35" s="209"/>
      <c r="R35" s="209"/>
      <c r="S35" s="209"/>
    </row>
    <row r="36" spans="1:22" s="217" customFormat="1" ht="22.95" customHeight="1" x14ac:dyDescent="0.2">
      <c r="B36" s="209"/>
      <c r="C36" s="210" t="s">
        <v>10</v>
      </c>
      <c r="D36" s="210"/>
      <c r="E36" s="210"/>
      <c r="F36" s="210"/>
      <c r="G36" s="209"/>
      <c r="H36" s="209"/>
      <c r="I36" s="209"/>
      <c r="J36" s="209"/>
      <c r="K36" s="209"/>
      <c r="L36" s="209"/>
      <c r="M36" s="209"/>
      <c r="N36" s="209"/>
      <c r="O36" s="209"/>
      <c r="P36" s="209"/>
      <c r="Q36" s="209"/>
      <c r="R36" s="209"/>
      <c r="S36" s="209"/>
    </row>
    <row r="37" spans="1:22" s="217" customFormat="1" ht="22.95" customHeight="1" x14ac:dyDescent="0.2">
      <c r="B37" s="209"/>
      <c r="C37" s="210" t="s">
        <v>11</v>
      </c>
      <c r="D37" s="210"/>
      <c r="E37" s="210"/>
      <c r="F37" s="210"/>
      <c r="G37" s="209"/>
      <c r="H37" s="209"/>
      <c r="I37" s="209"/>
      <c r="J37" s="209"/>
      <c r="K37" s="209"/>
      <c r="L37" s="209"/>
      <c r="M37" s="209"/>
      <c r="N37" s="209"/>
      <c r="O37" s="209"/>
      <c r="P37" s="209"/>
      <c r="Q37" s="209"/>
      <c r="R37" s="209"/>
      <c r="S37" s="209"/>
    </row>
    <row r="38" spans="1:22" s="217" customFormat="1" ht="22.95" customHeight="1" x14ac:dyDescent="0.2">
      <c r="B38" s="209"/>
      <c r="C38" s="210" t="s">
        <v>12</v>
      </c>
      <c r="D38" s="210"/>
      <c r="E38" s="210"/>
      <c r="F38" s="210"/>
      <c r="G38" s="209"/>
      <c r="H38" s="209"/>
      <c r="I38" s="209"/>
      <c r="J38" s="209"/>
      <c r="K38" s="209"/>
      <c r="L38" s="209"/>
      <c r="M38" s="209"/>
      <c r="N38" s="209"/>
      <c r="O38" s="209"/>
      <c r="P38" s="209"/>
      <c r="Q38" s="209"/>
      <c r="R38" s="209"/>
      <c r="S38" s="209"/>
    </row>
    <row r="39" spans="1:22" s="217" customFormat="1" ht="22.95" customHeight="1" x14ac:dyDescent="0.2">
      <c r="B39" s="209"/>
      <c r="C39" s="210"/>
      <c r="D39" s="210"/>
      <c r="E39" s="210"/>
      <c r="F39" s="210"/>
      <c r="G39" s="209"/>
      <c r="H39" s="209"/>
      <c r="I39" s="209"/>
      <c r="J39" s="209"/>
      <c r="K39" s="209"/>
      <c r="L39" s="209"/>
      <c r="M39" s="209"/>
      <c r="N39" s="209"/>
      <c r="O39" s="209"/>
      <c r="P39" s="209"/>
      <c r="Q39" s="209"/>
      <c r="R39" s="209"/>
      <c r="S39" s="209"/>
    </row>
    <row r="40" spans="1:22" s="217" customFormat="1" ht="22.95" customHeight="1" x14ac:dyDescent="0.2">
      <c r="B40" s="209"/>
      <c r="C40" s="210" t="s">
        <v>246</v>
      </c>
      <c r="D40" s="210"/>
      <c r="E40" s="210"/>
      <c r="F40" s="210"/>
      <c r="G40" s="209"/>
      <c r="H40" s="209"/>
      <c r="I40" s="209"/>
      <c r="J40" s="209"/>
      <c r="K40" s="209"/>
      <c r="L40" s="209"/>
      <c r="M40" s="209"/>
      <c r="N40" s="209"/>
      <c r="O40" s="209"/>
      <c r="P40" s="209"/>
      <c r="Q40" s="209"/>
      <c r="R40" s="209"/>
      <c r="S40" s="209"/>
    </row>
    <row r="41" spans="1:22" s="217" customFormat="1" ht="22.95" customHeight="1" x14ac:dyDescent="0.2">
      <c r="B41" s="209"/>
      <c r="C41" s="210" t="s">
        <v>9</v>
      </c>
      <c r="D41" s="210"/>
      <c r="E41" s="210"/>
      <c r="F41" s="210"/>
      <c r="G41" s="209"/>
      <c r="H41" s="209"/>
      <c r="I41" s="209"/>
      <c r="J41" s="209"/>
      <c r="K41" s="209"/>
      <c r="L41" s="209"/>
      <c r="M41" s="209"/>
      <c r="N41" s="209"/>
      <c r="O41" s="209"/>
      <c r="P41" s="209"/>
      <c r="Q41" s="209"/>
      <c r="R41" s="209"/>
      <c r="S41" s="209"/>
    </row>
    <row r="42" spans="1:22" s="217" customFormat="1" ht="22.95" customHeight="1" x14ac:dyDescent="0.2">
      <c r="B42" s="209"/>
      <c r="C42" s="210" t="s">
        <v>10</v>
      </c>
      <c r="D42" s="210"/>
      <c r="E42" s="210"/>
      <c r="F42" s="210"/>
      <c r="G42" s="209"/>
      <c r="H42" s="209"/>
      <c r="I42" s="209"/>
      <c r="J42" s="209"/>
      <c r="K42" s="209"/>
      <c r="L42" s="209"/>
      <c r="M42" s="209"/>
      <c r="N42" s="209"/>
      <c r="O42" s="209"/>
      <c r="P42" s="209"/>
      <c r="Q42" s="209"/>
      <c r="R42" s="209"/>
      <c r="S42" s="209"/>
    </row>
    <row r="43" spans="1:22" s="217" customFormat="1" ht="22.95" customHeight="1" x14ac:dyDescent="0.2">
      <c r="B43" s="209"/>
      <c r="C43" s="210" t="s">
        <v>11</v>
      </c>
      <c r="D43" s="210"/>
      <c r="E43" s="210"/>
      <c r="F43" s="210"/>
      <c r="G43" s="209"/>
      <c r="H43" s="209"/>
      <c r="I43" s="209"/>
      <c r="J43" s="209"/>
      <c r="K43" s="209"/>
      <c r="L43" s="209"/>
      <c r="M43" s="209"/>
      <c r="N43" s="209"/>
      <c r="O43" s="209"/>
      <c r="P43" s="209"/>
      <c r="Q43" s="209"/>
      <c r="R43" s="209"/>
      <c r="S43" s="209"/>
    </row>
    <row r="44" spans="1:22" s="217" customFormat="1" ht="22.95" customHeight="1" x14ac:dyDescent="0.2">
      <c r="B44" s="209"/>
      <c r="C44" s="210" t="s">
        <v>12</v>
      </c>
      <c r="D44" s="210"/>
      <c r="E44" s="210"/>
      <c r="F44" s="210"/>
      <c r="G44" s="209"/>
      <c r="H44" s="209"/>
      <c r="I44" s="209"/>
      <c r="J44" s="209"/>
      <c r="K44" s="209"/>
      <c r="L44" s="209"/>
      <c r="M44" s="209"/>
      <c r="N44" s="209"/>
      <c r="O44" s="209"/>
      <c r="P44" s="209"/>
      <c r="Q44" s="209"/>
      <c r="R44" s="209"/>
      <c r="S44" s="209"/>
    </row>
    <row r="45" spans="1:22" s="217" customFormat="1" ht="22.95" customHeight="1" x14ac:dyDescent="0.2">
      <c r="B45" s="209"/>
      <c r="C45" s="210" t="s">
        <v>13</v>
      </c>
      <c r="D45" s="210"/>
      <c r="E45" s="210"/>
      <c r="F45" s="210"/>
      <c r="G45" s="209"/>
      <c r="H45" s="209"/>
      <c r="I45" s="209"/>
      <c r="J45" s="209"/>
      <c r="K45" s="209"/>
      <c r="L45" s="209"/>
      <c r="M45" s="209"/>
      <c r="N45" s="209"/>
      <c r="O45" s="209"/>
      <c r="P45" s="209"/>
      <c r="Q45" s="209"/>
      <c r="R45" s="209"/>
      <c r="S45" s="209"/>
    </row>
    <row r="46" spans="1:22" s="208" customFormat="1" ht="19.95" customHeight="1" thickBot="1" x14ac:dyDescent="0.25">
      <c r="A46" s="219"/>
      <c r="B46" s="220"/>
      <c r="C46" s="220"/>
      <c r="D46" s="221"/>
      <c r="E46" s="221"/>
      <c r="F46" s="221"/>
      <c r="G46" s="221"/>
      <c r="H46" s="221"/>
      <c r="I46" s="221"/>
      <c r="J46" s="221"/>
      <c r="K46" s="221"/>
      <c r="L46" s="221"/>
      <c r="M46" s="221"/>
      <c r="N46" s="221"/>
      <c r="O46" s="221"/>
      <c r="P46" s="221"/>
      <c r="Q46" s="209"/>
      <c r="R46" s="209"/>
      <c r="S46" s="209"/>
    </row>
    <row r="47" spans="1:22" ht="30" customHeight="1" thickTop="1" thickBot="1" x14ac:dyDescent="0.25">
      <c r="A47" s="27"/>
      <c r="B47" s="28"/>
      <c r="C47" s="28"/>
      <c r="D47" s="29"/>
      <c r="E47" s="29"/>
      <c r="F47" s="29"/>
      <c r="G47" s="29"/>
      <c r="H47" s="29"/>
      <c r="I47" s="29"/>
      <c r="J47" s="29"/>
      <c r="K47" s="29"/>
      <c r="L47" s="29"/>
      <c r="M47" s="29"/>
      <c r="N47" s="29"/>
      <c r="O47" s="29"/>
      <c r="P47" s="29"/>
      <c r="Q47" s="205"/>
      <c r="R47" s="205"/>
      <c r="S47" s="269" t="str">
        <f>'1.基本データ(このシートは削除しないこと！)'!H1</f>
        <v>令和７年度様式（令和７年４月１日以降の入札公告から適用）</v>
      </c>
      <c r="T47" s="361" t="s">
        <v>4</v>
      </c>
      <c r="U47" s="362"/>
      <c r="V47" s="30" t="e">
        <f>SUM(F52:F101)</f>
        <v>#N/A</v>
      </c>
    </row>
    <row r="48" spans="1:22" ht="14.25" customHeight="1" thickTop="1" x14ac:dyDescent="0.2">
      <c r="A48" s="27"/>
      <c r="B48" s="364" t="s">
        <v>275</v>
      </c>
      <c r="C48" s="364"/>
      <c r="D48" s="364"/>
      <c r="E48" s="364"/>
      <c r="F48" s="364"/>
      <c r="G48" s="364"/>
      <c r="H48" s="364"/>
      <c r="I48" s="167"/>
      <c r="J48" s="167"/>
      <c r="K48" s="167"/>
      <c r="L48" s="167"/>
      <c r="M48" s="167"/>
      <c r="N48" s="167"/>
      <c r="O48" s="167"/>
      <c r="P48" s="167"/>
      <c r="Q48" s="31"/>
      <c r="S48" s="32" t="s">
        <v>274</v>
      </c>
    </row>
    <row r="49" spans="1:42" ht="16.5" customHeight="1" x14ac:dyDescent="0.2">
      <c r="A49" s="27"/>
      <c r="B49" s="326" t="s">
        <v>143</v>
      </c>
      <c r="C49" s="326"/>
      <c r="D49" s="326"/>
      <c r="E49" s="363" t="str">
        <f>'1.基本データ(このシートは削除しないこと！)'!H14&amp;'1.基本データ(このシートは削除しないこと！)'!H15</f>
        <v>第○○-○○○○○-○○○○号 ○○○○○○○○○○○○工事</v>
      </c>
      <c r="F49" s="363"/>
      <c r="G49" s="363"/>
      <c r="H49" s="363"/>
      <c r="I49" s="363"/>
      <c r="J49" s="363"/>
      <c r="K49" s="363"/>
      <c r="L49" s="363"/>
      <c r="M49" s="363"/>
      <c r="N49" s="363"/>
      <c r="O49" s="363"/>
      <c r="P49" s="363"/>
      <c r="Q49" s="363"/>
      <c r="R49" s="363"/>
    </row>
    <row r="50" spans="1:42" ht="16.5" customHeight="1" thickBot="1" x14ac:dyDescent="0.25">
      <c r="A50" s="27"/>
      <c r="B50" s="200"/>
      <c r="C50" s="200"/>
      <c r="D50" s="201" t="s">
        <v>144</v>
      </c>
      <c r="E50" s="202" t="str">
        <f>'1.基本データ(このシートは削除しないこと！)'!H7</f>
        <v>株式会社○○○○</v>
      </c>
      <c r="F50" s="203"/>
      <c r="G50" s="203"/>
      <c r="H50" s="203"/>
      <c r="I50" s="203"/>
      <c r="J50" s="203"/>
      <c r="K50" s="203"/>
      <c r="L50" s="203"/>
      <c r="M50" s="203"/>
      <c r="N50" s="203"/>
      <c r="O50" s="203"/>
      <c r="P50" s="203"/>
      <c r="Q50" s="203"/>
      <c r="R50" s="203"/>
      <c r="S50" s="27"/>
    </row>
    <row r="51" spans="1:42" ht="22.5" customHeight="1" thickBot="1" x14ac:dyDescent="0.25">
      <c r="A51" s="27"/>
      <c r="B51" s="317" t="s">
        <v>2</v>
      </c>
      <c r="C51" s="317"/>
      <c r="D51" s="317"/>
      <c r="E51" s="33" t="s">
        <v>173</v>
      </c>
      <c r="F51" s="34" t="s">
        <v>3</v>
      </c>
      <c r="G51" s="464" t="s">
        <v>325</v>
      </c>
      <c r="H51" s="465"/>
      <c r="I51" s="465"/>
      <c r="J51" s="465"/>
      <c r="K51" s="465"/>
      <c r="L51" s="465"/>
      <c r="M51" s="465"/>
      <c r="N51" s="465"/>
      <c r="O51" s="465"/>
      <c r="P51" s="465"/>
      <c r="Q51" s="465"/>
      <c r="R51" s="465"/>
      <c r="S51" s="466"/>
      <c r="V51" s="35" t="s">
        <v>140</v>
      </c>
      <c r="AB51" s="36"/>
      <c r="AC51" s="36"/>
      <c r="AD51" s="37" t="s">
        <v>175</v>
      </c>
      <c r="AE51" s="165" t="s">
        <v>176</v>
      </c>
      <c r="AG51" s="36"/>
      <c r="AH51" s="36"/>
      <c r="AP51" s="150" t="s">
        <v>177</v>
      </c>
    </row>
    <row r="52" spans="1:42" ht="30" customHeight="1" thickBot="1" x14ac:dyDescent="0.25">
      <c r="A52" s="27"/>
      <c r="B52" s="371" t="s">
        <v>225</v>
      </c>
      <c r="C52" s="365" t="s">
        <v>339</v>
      </c>
      <c r="D52" s="366"/>
      <c r="E52" s="369">
        <f>AD52</f>
        <v>2</v>
      </c>
      <c r="F52" s="321" t="str">
        <f>IF(Y52=0,"-",AP52)</f>
        <v>-</v>
      </c>
      <c r="G52" s="359" t="s">
        <v>142</v>
      </c>
      <c r="H52" s="360"/>
      <c r="I52" s="471"/>
      <c r="J52" s="472"/>
      <c r="K52" s="472"/>
      <c r="L52" s="472"/>
      <c r="M52" s="472"/>
      <c r="N52" s="472"/>
      <c r="O52" s="472"/>
      <c r="P52" s="472"/>
      <c r="Q52" s="473"/>
      <c r="R52" s="204" t="s">
        <v>254</v>
      </c>
      <c r="S52" s="318"/>
      <c r="V52" s="1">
        <f>IF(I52="",0,1)</f>
        <v>0</v>
      </c>
      <c r="W52" s="1">
        <f>IF(S52="",0,1)</f>
        <v>0</v>
      </c>
      <c r="X52" s="38"/>
      <c r="Y52" s="21">
        <f>SUM(V52:X54)</f>
        <v>0</v>
      </c>
      <c r="Z52" s="22" t="s">
        <v>277</v>
      </c>
      <c r="AA52" s="39" t="s">
        <v>22</v>
      </c>
      <c r="AB52" s="40"/>
      <c r="AC52" s="41">
        <f>IF($I$53=AA52,1,0)</f>
        <v>0</v>
      </c>
      <c r="AD52" s="42">
        <v>2</v>
      </c>
      <c r="AE52" s="43">
        <f>AC52*AD52</f>
        <v>0</v>
      </c>
      <c r="AG52" s="44"/>
      <c r="AH52" s="44"/>
      <c r="AP52" s="151">
        <f>IF(Y52=3,MAX(AE52:AE54),0)</f>
        <v>0</v>
      </c>
    </row>
    <row r="53" spans="1:42" ht="30" customHeight="1" thickBot="1" x14ac:dyDescent="0.25">
      <c r="A53" s="27"/>
      <c r="B53" s="372"/>
      <c r="C53" s="367"/>
      <c r="D53" s="368"/>
      <c r="E53" s="370"/>
      <c r="F53" s="321"/>
      <c r="G53" s="430" t="s">
        <v>326</v>
      </c>
      <c r="H53" s="479"/>
      <c r="I53" s="471"/>
      <c r="J53" s="472"/>
      <c r="K53" s="472"/>
      <c r="L53" s="472"/>
      <c r="M53" s="472"/>
      <c r="N53" s="472"/>
      <c r="O53" s="472"/>
      <c r="P53" s="472"/>
      <c r="Q53" s="473"/>
      <c r="R53" s="315" t="s">
        <v>279</v>
      </c>
      <c r="S53" s="319"/>
      <c r="V53" s="1">
        <f>IF(I53="",0,1)</f>
        <v>0</v>
      </c>
      <c r="W53" s="45"/>
      <c r="Z53" s="22"/>
      <c r="AA53" s="39" t="s">
        <v>28</v>
      </c>
      <c r="AB53" s="40"/>
      <c r="AC53" s="41">
        <f>IF($I$53=AA53,1,0)</f>
        <v>0</v>
      </c>
      <c r="AD53" s="42">
        <v>1.5</v>
      </c>
      <c r="AE53" s="43">
        <f>AC53*AD53</f>
        <v>0</v>
      </c>
      <c r="AG53" s="44"/>
      <c r="AH53" s="44"/>
      <c r="AP53" s="46"/>
    </row>
    <row r="54" spans="1:42" ht="30" customHeight="1" thickBot="1" x14ac:dyDescent="0.25">
      <c r="A54" s="27"/>
      <c r="B54" s="372"/>
      <c r="C54" s="367"/>
      <c r="D54" s="368"/>
      <c r="E54" s="370"/>
      <c r="F54" s="321"/>
      <c r="G54" s="357" t="s">
        <v>263</v>
      </c>
      <c r="H54" s="358"/>
      <c r="I54" s="346"/>
      <c r="J54" s="347"/>
      <c r="K54" s="347"/>
      <c r="L54" s="347"/>
      <c r="M54" s="347"/>
      <c r="N54" s="347"/>
      <c r="O54" s="347"/>
      <c r="P54" s="347"/>
      <c r="Q54" s="348"/>
      <c r="R54" s="316"/>
      <c r="S54" s="320"/>
      <c r="V54" s="47"/>
      <c r="W54" s="48"/>
      <c r="AA54" s="39" t="s">
        <v>31</v>
      </c>
      <c r="AB54" s="40"/>
      <c r="AC54" s="41">
        <f>IF($I$53=AA54,1,0)</f>
        <v>0</v>
      </c>
      <c r="AD54" s="42">
        <v>0.5</v>
      </c>
      <c r="AE54" s="43">
        <f>AC54*AD54</f>
        <v>0</v>
      </c>
      <c r="AG54" s="44"/>
      <c r="AH54" s="44"/>
      <c r="AJ54" s="11" t="s">
        <v>168</v>
      </c>
      <c r="AK54" s="11" t="s">
        <v>151</v>
      </c>
    </row>
    <row r="55" spans="1:42" ht="30" customHeight="1" thickBot="1" x14ac:dyDescent="0.25">
      <c r="A55" s="27"/>
      <c r="B55" s="373"/>
      <c r="C55" s="391" t="s">
        <v>340</v>
      </c>
      <c r="D55" s="383"/>
      <c r="E55" s="343">
        <f>AD56</f>
        <v>1.5</v>
      </c>
      <c r="F55" s="394">
        <f>IF(Y55=0,"-",AP56)</f>
        <v>0</v>
      </c>
      <c r="G55" s="302" t="s">
        <v>281</v>
      </c>
      <c r="H55" s="354"/>
      <c r="I55" s="119" t="s">
        <v>248</v>
      </c>
      <c r="J55" s="222"/>
      <c r="K55" s="14" t="s">
        <v>249</v>
      </c>
      <c r="L55" s="349"/>
      <c r="M55" s="350"/>
      <c r="N55" s="14" t="s">
        <v>249</v>
      </c>
      <c r="O55" s="351"/>
      <c r="P55" s="350"/>
      <c r="Q55" s="120" t="s">
        <v>250</v>
      </c>
      <c r="R55" s="194" t="s">
        <v>327</v>
      </c>
      <c r="S55" s="145" t="s">
        <v>172</v>
      </c>
      <c r="V55" s="1">
        <f>IF(AND(J55&lt;&gt;"",L55&lt;&gt;"",O55&lt;&gt;""),1,0)</f>
        <v>0</v>
      </c>
      <c r="W55" s="1">
        <f>IF(S55='1.基本データ(このシートは削除しないこと！)'!D16,1,0)</f>
        <v>1</v>
      </c>
      <c r="X55" s="38"/>
      <c r="Y55" s="21">
        <f>SUM(V55:W56)</f>
        <v>1</v>
      </c>
      <c r="Z55" s="22" t="s">
        <v>244</v>
      </c>
      <c r="AB55" s="44"/>
      <c r="AC55" s="44"/>
      <c r="AD55" s="37" t="s">
        <v>168</v>
      </c>
      <c r="AE55" s="165" t="s">
        <v>151</v>
      </c>
      <c r="AG55" s="50" t="s">
        <v>309</v>
      </c>
      <c r="AH55" s="51"/>
      <c r="AI55" s="41">
        <f>IF($S$56=AG55,1,0)</f>
        <v>0</v>
      </c>
      <c r="AJ55" s="1">
        <v>1.25</v>
      </c>
      <c r="AK55" s="42">
        <f>AI55*AJ55</f>
        <v>0</v>
      </c>
      <c r="AP55" s="150" t="s">
        <v>171</v>
      </c>
    </row>
    <row r="56" spans="1:42" ht="30" customHeight="1" thickBot="1" x14ac:dyDescent="0.25">
      <c r="A56" s="27"/>
      <c r="B56" s="373"/>
      <c r="C56" s="392"/>
      <c r="D56" s="385"/>
      <c r="E56" s="344"/>
      <c r="F56" s="395"/>
      <c r="G56" s="309" t="s">
        <v>377</v>
      </c>
      <c r="H56" s="480"/>
      <c r="I56" s="476"/>
      <c r="J56" s="477"/>
      <c r="K56" s="477"/>
      <c r="L56" s="477"/>
      <c r="M56" s="477"/>
      <c r="N56" s="477"/>
      <c r="O56" s="478"/>
      <c r="P56" s="474" t="s">
        <v>328</v>
      </c>
      <c r="Q56" s="474"/>
      <c r="R56" s="475"/>
      <c r="S56" s="145" t="s">
        <v>172</v>
      </c>
      <c r="V56" s="1">
        <f>IF(AND(I56&lt;&gt;""),1,0)</f>
        <v>0</v>
      </c>
      <c r="W56" s="1">
        <f>IF(S56="-",0,1)</f>
        <v>0</v>
      </c>
      <c r="AA56" s="50" t="s">
        <v>308</v>
      </c>
      <c r="AB56" s="51"/>
      <c r="AC56" s="41">
        <f>IF($S$56=AA56,1,0)</f>
        <v>0</v>
      </c>
      <c r="AD56" s="1">
        <v>1.5</v>
      </c>
      <c r="AE56" s="42">
        <f>AC56*AD56</f>
        <v>0</v>
      </c>
      <c r="AG56" s="50" t="s">
        <v>138</v>
      </c>
      <c r="AH56" s="51"/>
      <c r="AI56" s="41">
        <f>IF($S$56=AG56,1,0)</f>
        <v>0</v>
      </c>
      <c r="AJ56" s="1">
        <v>1</v>
      </c>
      <c r="AK56" s="42">
        <f>AI56*AJ56</f>
        <v>0</v>
      </c>
      <c r="AP56" s="151">
        <f>IF(Y55=4,MAX(AE56,AK55:AK56),0)</f>
        <v>0</v>
      </c>
    </row>
    <row r="57" spans="1:42" ht="19.95" customHeight="1" thickBot="1" x14ac:dyDescent="0.25">
      <c r="A57" s="27"/>
      <c r="B57" s="373"/>
      <c r="C57" s="393"/>
      <c r="D57" s="387"/>
      <c r="E57" s="345"/>
      <c r="F57" s="396"/>
      <c r="G57" s="467" t="s">
        <v>334</v>
      </c>
      <c r="H57" s="468"/>
      <c r="I57" s="468"/>
      <c r="J57" s="468"/>
      <c r="K57" s="468"/>
      <c r="L57" s="468"/>
      <c r="M57" s="468"/>
      <c r="N57" s="468"/>
      <c r="O57" s="468"/>
      <c r="P57" s="468"/>
      <c r="Q57" s="468"/>
      <c r="R57" s="468"/>
      <c r="S57" s="469"/>
      <c r="V57" s="1"/>
      <c r="AA57" s="52"/>
      <c r="AB57" s="53"/>
      <c r="AC57" s="54"/>
      <c r="AD57" s="1"/>
      <c r="AE57" s="55"/>
      <c r="AG57" s="52"/>
      <c r="AH57" s="53"/>
      <c r="AI57" s="54"/>
      <c r="AK57" s="55"/>
      <c r="AP57" s="151"/>
    </row>
    <row r="58" spans="1:42" ht="34.950000000000003" customHeight="1" thickBot="1" x14ac:dyDescent="0.25">
      <c r="A58" s="27"/>
      <c r="B58" s="373"/>
      <c r="C58" s="302" t="s">
        <v>267</v>
      </c>
      <c r="D58" s="303"/>
      <c r="E58" s="121">
        <f t="shared" ref="E58" si="0">AD58</f>
        <v>0.25</v>
      </c>
      <c r="F58" s="122" t="str">
        <f t="shared" ref="F58" si="1">AP58</f>
        <v>-</v>
      </c>
      <c r="G58" s="304" t="s">
        <v>366</v>
      </c>
      <c r="H58" s="305"/>
      <c r="I58" s="305"/>
      <c r="J58" s="305"/>
      <c r="K58" s="305"/>
      <c r="L58" s="305"/>
      <c r="M58" s="305"/>
      <c r="N58" s="305"/>
      <c r="O58" s="305"/>
      <c r="P58" s="305"/>
      <c r="Q58" s="305"/>
      <c r="R58" s="123" t="s">
        <v>329</v>
      </c>
      <c r="S58" s="146" t="s">
        <v>172</v>
      </c>
      <c r="V58" s="1">
        <f>IF(S58="有",1,0)</f>
        <v>0</v>
      </c>
      <c r="AD58" s="42">
        <v>0.25</v>
      </c>
      <c r="AE58" s="56"/>
      <c r="AG58" s="44"/>
      <c r="AH58" s="44"/>
      <c r="AP58" s="152" t="str">
        <f>IF(V58=1,AD58,"-")</f>
        <v>-</v>
      </c>
    </row>
    <row r="59" spans="1:42" ht="34.950000000000003" customHeight="1" thickBot="1" x14ac:dyDescent="0.25">
      <c r="A59" s="27"/>
      <c r="B59" s="373"/>
      <c r="C59" s="309" t="s">
        <v>268</v>
      </c>
      <c r="D59" s="314"/>
      <c r="E59" s="121">
        <f t="shared" ref="E59:E60" si="2">AD59</f>
        <v>0.25</v>
      </c>
      <c r="F59" s="122" t="str">
        <f t="shared" ref="F59" si="3">AP59</f>
        <v>-</v>
      </c>
      <c r="G59" s="304" t="s">
        <v>255</v>
      </c>
      <c r="H59" s="305"/>
      <c r="I59" s="470"/>
      <c r="J59" s="470"/>
      <c r="K59" s="470"/>
      <c r="L59" s="470"/>
      <c r="M59" s="470"/>
      <c r="N59" s="470"/>
      <c r="O59" s="470"/>
      <c r="P59" s="470"/>
      <c r="Q59" s="470"/>
      <c r="R59" s="123" t="s">
        <v>330</v>
      </c>
      <c r="S59" s="146" t="s">
        <v>172</v>
      </c>
      <c r="V59" s="1">
        <f>IF(S59="有",1,0)</f>
        <v>0</v>
      </c>
      <c r="AD59" s="42">
        <v>0.25</v>
      </c>
      <c r="AE59" s="56"/>
      <c r="AG59" s="44"/>
      <c r="AH59" s="44"/>
      <c r="AP59" s="152" t="str">
        <f>IF(V59=1,AD59,"-")</f>
        <v>-</v>
      </c>
    </row>
    <row r="60" spans="1:42" ht="34.950000000000003" customHeight="1" thickBot="1" x14ac:dyDescent="0.25">
      <c r="A60" s="27"/>
      <c r="B60" s="373"/>
      <c r="C60" s="302" t="s">
        <v>370</v>
      </c>
      <c r="D60" s="303"/>
      <c r="E60" s="121">
        <f t="shared" si="2"/>
        <v>0.25</v>
      </c>
      <c r="F60" s="122" t="str">
        <f>IF('1.基本データ(このシートは削除しないこと！)'!H16=1,AP60,"-")</f>
        <v>-</v>
      </c>
      <c r="G60" s="304" t="s">
        <v>371</v>
      </c>
      <c r="H60" s="305"/>
      <c r="I60" s="305"/>
      <c r="J60" s="305"/>
      <c r="K60" s="305"/>
      <c r="L60" s="305"/>
      <c r="M60" s="305"/>
      <c r="N60" s="305"/>
      <c r="O60" s="305"/>
      <c r="P60" s="305"/>
      <c r="Q60" s="305"/>
      <c r="R60" s="123" t="s">
        <v>372</v>
      </c>
      <c r="S60" s="146" t="s">
        <v>172</v>
      </c>
      <c r="V60" s="1">
        <f>IF(S60="有",1,0)</f>
        <v>0</v>
      </c>
      <c r="AD60" s="42">
        <v>0.25</v>
      </c>
      <c r="AE60" s="42">
        <f>IF('1.基本データ(このシートは削除しないこと！)'!H16=1,1,0)</f>
        <v>0</v>
      </c>
      <c r="AF60">
        <f>AD60*AE60</f>
        <v>0</v>
      </c>
      <c r="AG60" s="44"/>
      <c r="AH60" s="44"/>
      <c r="AP60" s="152" t="str">
        <f>IF(V60=1,AF60,"-")</f>
        <v>-</v>
      </c>
    </row>
    <row r="61" spans="1:42" ht="34.950000000000003" customHeight="1" thickBot="1" x14ac:dyDescent="0.25">
      <c r="A61" s="27"/>
      <c r="B61" s="372"/>
      <c r="C61" s="380" t="s">
        <v>1</v>
      </c>
      <c r="D61" s="381"/>
      <c r="E61" s="195"/>
      <c r="F61" s="195"/>
      <c r="G61" s="352" t="s">
        <v>373</v>
      </c>
      <c r="H61" s="353"/>
      <c r="I61" s="388"/>
      <c r="J61" s="389"/>
      <c r="K61" s="389"/>
      <c r="L61" s="389"/>
      <c r="M61" s="389"/>
      <c r="N61" s="389"/>
      <c r="O61" s="389"/>
      <c r="P61" s="389"/>
      <c r="Q61" s="390"/>
      <c r="R61" s="375" t="s">
        <v>369</v>
      </c>
      <c r="S61" s="376"/>
      <c r="V61" s="21">
        <f>IF(I61="",0,1)</f>
        <v>0</v>
      </c>
      <c r="W61" t="s">
        <v>226</v>
      </c>
      <c r="AD61" s="37" t="s">
        <v>168</v>
      </c>
      <c r="AE61" s="37" t="s">
        <v>151</v>
      </c>
      <c r="AP61" s="150" t="s">
        <v>171</v>
      </c>
    </row>
    <row r="62" spans="1:42" ht="30" customHeight="1" thickBot="1" x14ac:dyDescent="0.25">
      <c r="A62" s="27"/>
      <c r="B62" s="372"/>
      <c r="C62" s="382" t="s">
        <v>354</v>
      </c>
      <c r="D62" s="383"/>
      <c r="E62" s="379">
        <f>AD62</f>
        <v>0.5</v>
      </c>
      <c r="F62" s="321" t="str">
        <f>IF(Y62=0,"-",AP62)</f>
        <v>-</v>
      </c>
      <c r="G62" s="359" t="s">
        <v>142</v>
      </c>
      <c r="H62" s="360"/>
      <c r="I62" s="334"/>
      <c r="J62" s="335"/>
      <c r="K62" s="335"/>
      <c r="L62" s="335"/>
      <c r="M62" s="335"/>
      <c r="N62" s="335"/>
      <c r="O62" s="335"/>
      <c r="P62" s="335"/>
      <c r="Q62" s="336"/>
      <c r="R62" s="204" t="s">
        <v>280</v>
      </c>
      <c r="S62" s="318"/>
      <c r="V62" s="57">
        <f>IF(I62="",0,1)</f>
        <v>0</v>
      </c>
      <c r="W62" s="1">
        <f>IF(S62="",0,1)</f>
        <v>0</v>
      </c>
      <c r="X62" s="38"/>
      <c r="Y62" s="21">
        <f>SUM(V62:W64)</f>
        <v>0</v>
      </c>
      <c r="Z62" s="22" t="s">
        <v>278</v>
      </c>
      <c r="AB62" s="58"/>
      <c r="AC62" s="58"/>
      <c r="AD62" s="42">
        <v>0.5</v>
      </c>
      <c r="AE62" s="24">
        <f>IF(Y62=4,AD62*V$61,0)</f>
        <v>0</v>
      </c>
      <c r="AG62" s="58"/>
      <c r="AH62" s="58"/>
      <c r="AP62" s="153">
        <f>IF(Y62=4,AE62,0)</f>
        <v>0</v>
      </c>
    </row>
    <row r="63" spans="1:42" ht="30" customHeight="1" thickBot="1" x14ac:dyDescent="0.25">
      <c r="A63" s="27"/>
      <c r="B63" s="372"/>
      <c r="C63" s="384"/>
      <c r="D63" s="385"/>
      <c r="E63" s="379"/>
      <c r="F63" s="321"/>
      <c r="G63" s="355" t="s">
        <v>378</v>
      </c>
      <c r="H63" s="356"/>
      <c r="I63" s="337"/>
      <c r="J63" s="330"/>
      <c r="K63" s="330"/>
      <c r="L63" s="330"/>
      <c r="M63" s="12" t="s">
        <v>251</v>
      </c>
      <c r="N63" s="330"/>
      <c r="O63" s="330"/>
      <c r="P63" s="330"/>
      <c r="Q63" s="331"/>
      <c r="R63" s="315" t="s">
        <v>279</v>
      </c>
      <c r="S63" s="319"/>
      <c r="V63" s="1">
        <f>IF(AND(I63&lt;&gt;"",N63&lt;&gt;""),1,0)</f>
        <v>0</v>
      </c>
      <c r="W63" s="45"/>
      <c r="AB63" s="58"/>
      <c r="AC63" s="58"/>
      <c r="AE63" s="58"/>
      <c r="AG63" s="58"/>
      <c r="AH63" s="58"/>
    </row>
    <row r="64" spans="1:42" ht="30" customHeight="1" thickBot="1" x14ac:dyDescent="0.25">
      <c r="A64" s="27"/>
      <c r="B64" s="372"/>
      <c r="C64" s="384"/>
      <c r="D64" s="385"/>
      <c r="E64" s="379"/>
      <c r="F64" s="321"/>
      <c r="G64" s="355" t="s">
        <v>379</v>
      </c>
      <c r="H64" s="356"/>
      <c r="I64" s="337"/>
      <c r="J64" s="330"/>
      <c r="K64" s="330"/>
      <c r="L64" s="330"/>
      <c r="M64" s="12" t="s">
        <v>247</v>
      </c>
      <c r="N64" s="330"/>
      <c r="O64" s="330"/>
      <c r="P64" s="330"/>
      <c r="Q64" s="331"/>
      <c r="R64" s="315"/>
      <c r="S64" s="319"/>
      <c r="V64" s="1">
        <f>IF(AND(I64&lt;&gt;"",N64&lt;&gt;""),1,0)</f>
        <v>0</v>
      </c>
      <c r="W64" s="59"/>
      <c r="AB64" s="58"/>
      <c r="AC64" s="58"/>
      <c r="AE64" s="58"/>
      <c r="AG64" s="58"/>
      <c r="AH64" s="58"/>
    </row>
    <row r="65" spans="1:51" ht="30" customHeight="1" thickBot="1" x14ac:dyDescent="0.25">
      <c r="A65" s="27"/>
      <c r="B65" s="372"/>
      <c r="C65" s="386"/>
      <c r="D65" s="387"/>
      <c r="E65" s="379"/>
      <c r="F65" s="321"/>
      <c r="G65" s="357" t="s">
        <v>216</v>
      </c>
      <c r="H65" s="358"/>
      <c r="I65" s="346"/>
      <c r="J65" s="347"/>
      <c r="K65" s="347"/>
      <c r="L65" s="347"/>
      <c r="M65" s="347"/>
      <c r="N65" s="347"/>
      <c r="O65" s="347"/>
      <c r="P65" s="347"/>
      <c r="Q65" s="348"/>
      <c r="R65" s="316"/>
      <c r="S65" s="320"/>
      <c r="V65" s="47"/>
      <c r="W65" s="48"/>
      <c r="AB65" s="58"/>
      <c r="AC65" s="58"/>
      <c r="AD65" s="37" t="s">
        <v>168</v>
      </c>
      <c r="AE65" s="37" t="s">
        <v>151</v>
      </c>
      <c r="AG65" s="58"/>
      <c r="AH65" s="58"/>
      <c r="AP65" s="150" t="s">
        <v>171</v>
      </c>
    </row>
    <row r="66" spans="1:51" ht="34.950000000000003" customHeight="1" thickBot="1" x14ac:dyDescent="0.25">
      <c r="A66" s="27"/>
      <c r="B66" s="372"/>
      <c r="C66" s="365" t="s">
        <v>355</v>
      </c>
      <c r="D66" s="366"/>
      <c r="E66" s="377">
        <f>AD66</f>
        <v>0.75</v>
      </c>
      <c r="F66" s="378" t="str">
        <f>IF(Y66=0,"-",AP66)</f>
        <v>-</v>
      </c>
      <c r="G66" s="355" t="s">
        <v>256</v>
      </c>
      <c r="H66" s="356"/>
      <c r="I66" s="13" t="s">
        <v>248</v>
      </c>
      <c r="J66" s="222"/>
      <c r="K66" s="14" t="s">
        <v>249</v>
      </c>
      <c r="L66" s="349"/>
      <c r="M66" s="350"/>
      <c r="N66" s="14" t="s">
        <v>249</v>
      </c>
      <c r="O66" s="351"/>
      <c r="P66" s="350"/>
      <c r="Q66" s="49" t="s">
        <v>250</v>
      </c>
      <c r="R66" s="446" t="s">
        <v>390</v>
      </c>
      <c r="S66" s="318"/>
      <c r="V66" s="1">
        <f>IF(AND(J66&lt;&gt;"",L66&lt;&gt;"",O66&lt;&gt;""),1,0)</f>
        <v>0</v>
      </c>
      <c r="W66" s="1">
        <f>IF(S66="",0,1)</f>
        <v>0</v>
      </c>
      <c r="X66" s="38"/>
      <c r="Y66" s="21">
        <f>SUM(V66:W68)</f>
        <v>0</v>
      </c>
      <c r="Z66" s="22" t="s">
        <v>392</v>
      </c>
      <c r="AB66" s="273" t="s">
        <v>308</v>
      </c>
      <c r="AC66" s="37">
        <f>IF(S68=AB66,1,0)</f>
        <v>0</v>
      </c>
      <c r="AD66" s="42">
        <v>0.75</v>
      </c>
      <c r="AE66" s="24">
        <f>IF(Y66=5,AD66*V$61*AC66,0)</f>
        <v>0</v>
      </c>
      <c r="AG66" s="58"/>
      <c r="AH66" s="58"/>
      <c r="AP66" s="153">
        <f>IF(Y66=5,MAX(AE66:AE67),0)</f>
        <v>0</v>
      </c>
    </row>
    <row r="67" spans="1:51" ht="34.950000000000003" customHeight="1" thickBot="1" x14ac:dyDescent="0.25">
      <c r="A67" s="27"/>
      <c r="B67" s="372"/>
      <c r="C67" s="367"/>
      <c r="D67" s="368"/>
      <c r="E67" s="377"/>
      <c r="F67" s="378"/>
      <c r="G67" s="302" t="s">
        <v>306</v>
      </c>
      <c r="H67" s="354"/>
      <c r="I67" s="337"/>
      <c r="J67" s="330"/>
      <c r="K67" s="330"/>
      <c r="L67" s="330"/>
      <c r="M67" s="12" t="s">
        <v>252</v>
      </c>
      <c r="N67" s="330"/>
      <c r="O67" s="330"/>
      <c r="P67" s="330"/>
      <c r="Q67" s="331"/>
      <c r="R67" s="447"/>
      <c r="S67" s="320"/>
      <c r="V67" s="1">
        <f>IF(AND(I67&lt;&gt;"",N67&lt;&gt;""),1,0)</f>
        <v>0</v>
      </c>
      <c r="W67" s="1">
        <f>IF(S68="-",0,1)</f>
        <v>0</v>
      </c>
      <c r="AB67" s="273" t="s">
        <v>309</v>
      </c>
      <c r="AC67" s="37">
        <f>IF(S68=AB67,1,0)</f>
        <v>0</v>
      </c>
      <c r="AD67" s="42">
        <v>0.5</v>
      </c>
      <c r="AE67" s="24">
        <f>IF(Y66=5,AD67*V$61*AC67,0)</f>
        <v>0</v>
      </c>
      <c r="AG67" s="58"/>
      <c r="AH67" s="58"/>
    </row>
    <row r="68" spans="1:51" ht="34.950000000000003" customHeight="1" thickBot="1" x14ac:dyDescent="0.25">
      <c r="A68" s="27"/>
      <c r="B68" s="374"/>
      <c r="C68" s="380"/>
      <c r="D68" s="381"/>
      <c r="E68" s="377"/>
      <c r="F68" s="378"/>
      <c r="G68" s="355" t="s">
        <v>305</v>
      </c>
      <c r="H68" s="356"/>
      <c r="I68" s="337"/>
      <c r="J68" s="330"/>
      <c r="K68" s="330"/>
      <c r="L68" s="330"/>
      <c r="M68" s="12" t="s">
        <v>253</v>
      </c>
      <c r="N68" s="330"/>
      <c r="O68" s="330"/>
      <c r="P68" s="330"/>
      <c r="Q68" s="331"/>
      <c r="R68" s="274" t="s">
        <v>391</v>
      </c>
      <c r="S68" s="272" t="s">
        <v>172</v>
      </c>
      <c r="V68" s="1">
        <f>IF(AND(I68&lt;&gt;"",N68&lt;&gt;""),1,0)</f>
        <v>0</v>
      </c>
      <c r="W68" s="59"/>
      <c r="AB68" s="58"/>
      <c r="AC68" s="58"/>
      <c r="AE68" s="58"/>
      <c r="AG68" s="58"/>
      <c r="AH68" s="58"/>
    </row>
    <row r="69" spans="1:51" ht="19.95" customHeight="1" x14ac:dyDescent="0.2">
      <c r="A69" s="27"/>
      <c r="B69" s="463" t="s">
        <v>331</v>
      </c>
      <c r="C69" s="463"/>
      <c r="D69" s="463"/>
      <c r="E69" s="463"/>
      <c r="F69" s="463"/>
      <c r="G69" s="463"/>
      <c r="H69" s="463"/>
      <c r="I69" s="463"/>
      <c r="J69" s="463"/>
      <c r="K69" s="463"/>
      <c r="L69" s="463"/>
      <c r="M69" s="463"/>
      <c r="N69" s="463"/>
      <c r="O69" s="463"/>
      <c r="P69" s="463"/>
      <c r="Q69" s="463"/>
      <c r="R69" s="463"/>
      <c r="S69" s="463"/>
    </row>
    <row r="70" spans="1:51" s="249" customFormat="1" ht="16.95" customHeight="1" x14ac:dyDescent="0.2">
      <c r="A70" s="248"/>
      <c r="B70" s="425" t="s">
        <v>332</v>
      </c>
      <c r="C70" s="425"/>
      <c r="D70" s="425"/>
      <c r="E70" s="425"/>
      <c r="F70" s="425"/>
      <c r="G70" s="425"/>
      <c r="H70" s="425"/>
      <c r="I70" s="425"/>
      <c r="J70" s="425"/>
      <c r="K70" s="425"/>
      <c r="L70" s="425"/>
      <c r="M70" s="425"/>
      <c r="N70" s="425"/>
      <c r="O70" s="425"/>
      <c r="P70" s="425"/>
      <c r="Q70" s="425"/>
      <c r="R70" s="425"/>
      <c r="S70" s="425"/>
      <c r="AG70" s="248"/>
    </row>
    <row r="71" spans="1:51" s="249" customFormat="1" ht="16.95" customHeight="1" x14ac:dyDescent="0.2">
      <c r="A71" s="248"/>
      <c r="B71" s="425" t="s">
        <v>333</v>
      </c>
      <c r="C71" s="425"/>
      <c r="D71" s="425"/>
      <c r="E71" s="425"/>
      <c r="F71" s="425"/>
      <c r="G71" s="425"/>
      <c r="H71" s="425"/>
      <c r="I71" s="425"/>
      <c r="J71" s="425"/>
      <c r="K71" s="425"/>
      <c r="L71" s="425"/>
      <c r="M71" s="425"/>
      <c r="N71" s="425"/>
      <c r="O71" s="425"/>
      <c r="P71" s="425"/>
      <c r="Q71" s="425"/>
      <c r="R71" s="425"/>
      <c r="S71" s="425"/>
      <c r="AG71" s="248"/>
      <c r="AH71" s="248"/>
      <c r="AI71" s="248"/>
    </row>
    <row r="72" spans="1:51" s="249" customFormat="1" ht="16.95" customHeight="1" x14ac:dyDescent="0.2">
      <c r="A72" s="248"/>
      <c r="B72" s="425" t="s">
        <v>376</v>
      </c>
      <c r="C72" s="425"/>
      <c r="D72" s="425"/>
      <c r="E72" s="425"/>
      <c r="F72" s="425"/>
      <c r="G72" s="425"/>
      <c r="H72" s="425"/>
      <c r="I72" s="425"/>
      <c r="J72" s="425"/>
      <c r="K72" s="425"/>
      <c r="L72" s="425"/>
      <c r="M72" s="425"/>
      <c r="N72" s="425"/>
      <c r="O72" s="425"/>
      <c r="P72" s="425"/>
      <c r="Q72" s="425"/>
      <c r="R72" s="425"/>
      <c r="S72" s="425"/>
      <c r="AC72" s="250"/>
      <c r="AD72" s="251"/>
      <c r="AE72" s="252"/>
      <c r="AF72" s="253"/>
      <c r="AG72" s="248"/>
      <c r="AM72" s="254"/>
    </row>
    <row r="73" spans="1:51" s="249" customFormat="1" ht="24" customHeight="1" x14ac:dyDescent="0.2">
      <c r="A73" s="248"/>
      <c r="B73" s="325" t="s">
        <v>356</v>
      </c>
      <c r="C73" s="325"/>
      <c r="D73" s="325"/>
      <c r="E73" s="325"/>
      <c r="F73" s="325"/>
      <c r="G73" s="325"/>
      <c r="H73" s="325"/>
      <c r="I73" s="325"/>
      <c r="J73" s="325"/>
      <c r="K73" s="325"/>
      <c r="L73" s="325"/>
      <c r="M73" s="325"/>
      <c r="N73" s="325"/>
      <c r="O73" s="325"/>
      <c r="P73" s="325"/>
      <c r="Q73" s="325"/>
      <c r="R73" s="325"/>
      <c r="S73" s="325"/>
      <c r="AC73" s="250"/>
      <c r="AD73" s="251"/>
      <c r="AE73" s="252"/>
      <c r="AF73" s="253"/>
      <c r="AG73" s="248"/>
      <c r="AM73" s="254"/>
    </row>
    <row r="74" spans="1:51" ht="14.25" customHeight="1" x14ac:dyDescent="0.2">
      <c r="A74" s="27"/>
      <c r="B74" s="60" t="s">
        <v>276</v>
      </c>
      <c r="C74" s="31"/>
      <c r="D74" s="31"/>
      <c r="E74" s="31"/>
      <c r="F74" s="31"/>
      <c r="G74" s="31"/>
      <c r="H74" s="31"/>
      <c r="I74" s="31"/>
      <c r="J74" s="31"/>
      <c r="K74" s="31"/>
      <c r="L74" s="31"/>
      <c r="M74" s="31"/>
      <c r="N74" s="31"/>
      <c r="O74" s="31"/>
      <c r="P74" s="31"/>
      <c r="Q74" s="31"/>
      <c r="S74" s="32" t="str">
        <f>S48</f>
        <v>（地域密着型）</v>
      </c>
      <c r="AM74" s="11" t="s">
        <v>168</v>
      </c>
    </row>
    <row r="75" spans="1:51" ht="16.5" customHeight="1" thickBot="1" x14ac:dyDescent="0.25">
      <c r="A75" s="27"/>
      <c r="B75" s="326" t="s">
        <v>143</v>
      </c>
      <c r="C75" s="326"/>
      <c r="D75" s="326"/>
      <c r="E75" s="363" t="str">
        <f>E49</f>
        <v>第○○-○○○○○-○○○○号 ○○○○○○○○○○○○工事</v>
      </c>
      <c r="F75" s="363"/>
      <c r="G75" s="363"/>
      <c r="H75" s="363"/>
      <c r="I75" s="363"/>
      <c r="J75" s="363"/>
      <c r="K75" s="363"/>
      <c r="L75" s="363"/>
      <c r="M75" s="363"/>
      <c r="N75" s="363"/>
      <c r="O75" s="363"/>
      <c r="P75" s="363"/>
      <c r="Q75" s="363"/>
      <c r="R75" s="363"/>
      <c r="AE75" s="55"/>
      <c r="AF75" s="56"/>
      <c r="AJ75" s="1">
        <v>0</v>
      </c>
      <c r="AK75" s="47"/>
      <c r="AL75" s="47"/>
      <c r="AM75" s="23">
        <v>0</v>
      </c>
    </row>
    <row r="76" spans="1:51" ht="16.5" customHeight="1" thickBot="1" x14ac:dyDescent="0.25">
      <c r="A76" s="27"/>
      <c r="B76" s="200"/>
      <c r="C76" s="200"/>
      <c r="D76" s="201" t="s">
        <v>144</v>
      </c>
      <c r="E76" s="202" t="str">
        <f>E50</f>
        <v>株式会社○○○○</v>
      </c>
      <c r="F76" s="203"/>
      <c r="G76" s="203"/>
      <c r="H76" s="203"/>
      <c r="I76" s="203"/>
      <c r="J76" s="203"/>
      <c r="K76" s="203"/>
      <c r="L76" s="203"/>
      <c r="M76" s="203"/>
      <c r="N76" s="203"/>
      <c r="O76" s="203"/>
      <c r="P76" s="203"/>
      <c r="Q76" s="203"/>
      <c r="R76" s="203"/>
      <c r="S76" s="27"/>
      <c r="V76" s="21">
        <f>IF(K78="",0,1)</f>
        <v>0</v>
      </c>
      <c r="W76" t="s">
        <v>348</v>
      </c>
      <c r="Z76" s="11" t="s">
        <v>271</v>
      </c>
      <c r="AA76" s="11"/>
      <c r="AB76" s="11" t="s">
        <v>151</v>
      </c>
      <c r="AE76" s="61"/>
      <c r="AF76" s="62"/>
      <c r="AG76" s="61"/>
      <c r="AJ76" s="1">
        <v>42</v>
      </c>
      <c r="AK76" s="1" t="s">
        <v>148</v>
      </c>
      <c r="AL76" s="1" t="s">
        <v>174</v>
      </c>
      <c r="AM76" s="23">
        <v>6</v>
      </c>
      <c r="AN76" s="27"/>
      <c r="AO76" s="27"/>
      <c r="AP76" s="27"/>
    </row>
    <row r="77" spans="1:51" ht="22.5" customHeight="1" thickBot="1" x14ac:dyDescent="0.25">
      <c r="A77" s="27"/>
      <c r="B77" s="317" t="s">
        <v>0</v>
      </c>
      <c r="C77" s="317"/>
      <c r="D77" s="317"/>
      <c r="E77" s="33" t="s">
        <v>173</v>
      </c>
      <c r="F77" s="34" t="s">
        <v>3</v>
      </c>
      <c r="G77" s="464" t="s">
        <v>335</v>
      </c>
      <c r="H77" s="465"/>
      <c r="I77" s="465"/>
      <c r="J77" s="465"/>
      <c r="K77" s="465"/>
      <c r="L77" s="465"/>
      <c r="M77" s="465"/>
      <c r="N77" s="465"/>
      <c r="O77" s="465"/>
      <c r="P77" s="465"/>
      <c r="Q77" s="465"/>
      <c r="R77" s="465"/>
      <c r="S77" s="466"/>
      <c r="V77" s="57">
        <f>IF(OR(R78=リスト!O4),1,0)</f>
        <v>0</v>
      </c>
      <c r="W77" s="39">
        <f>V76</f>
        <v>0</v>
      </c>
      <c r="X77" s="21">
        <f>SUM(V77:W77)</f>
        <v>0</v>
      </c>
      <c r="Y77" s="22" t="s">
        <v>357</v>
      </c>
      <c r="Z77" s="1">
        <v>0.5</v>
      </c>
      <c r="AA77" s="1">
        <f>V77*Z77</f>
        <v>0</v>
      </c>
      <c r="AB77" s="197" t="str">
        <f>IF(V76=1,MAX(AA77:AA78),"-")</f>
        <v>-</v>
      </c>
      <c r="AC77" s="63" t="s">
        <v>211</v>
      </c>
      <c r="AE77" s="64">
        <v>1</v>
      </c>
      <c r="AF77" s="65">
        <f>V79*AE77</f>
        <v>0</v>
      </c>
      <c r="AG77" s="66" t="str">
        <f>IF('1.基本データ(このシートは削除しないこと！)'!H16=1,MAX(AF77:AF78),"-")</f>
        <v>-</v>
      </c>
      <c r="AJ77" s="1">
        <v>41</v>
      </c>
      <c r="AK77" s="1" t="s">
        <v>148</v>
      </c>
      <c r="AL77" s="1" t="s">
        <v>27</v>
      </c>
      <c r="AM77" s="23">
        <v>5</v>
      </c>
      <c r="AX77" s="27"/>
    </row>
    <row r="78" spans="1:51" ht="33" customHeight="1" thickBot="1" x14ac:dyDescent="0.25">
      <c r="A78" s="27"/>
      <c r="B78" s="371" t="s">
        <v>194</v>
      </c>
      <c r="C78" s="309" t="s">
        <v>257</v>
      </c>
      <c r="D78" s="314"/>
      <c r="E78" s="121">
        <f>Z77</f>
        <v>0.5</v>
      </c>
      <c r="F78" s="122" t="str">
        <f>AQ80</f>
        <v>-</v>
      </c>
      <c r="G78" s="309" t="s">
        <v>384</v>
      </c>
      <c r="H78" s="459"/>
      <c r="I78" s="485" t="s">
        <v>341</v>
      </c>
      <c r="J78" s="486"/>
      <c r="K78" s="322"/>
      <c r="L78" s="323"/>
      <c r="M78" s="323"/>
      <c r="N78" s="323"/>
      <c r="O78" s="323"/>
      <c r="P78" s="323"/>
      <c r="Q78" s="324"/>
      <c r="R78" s="323" t="s">
        <v>172</v>
      </c>
      <c r="S78" s="324"/>
      <c r="V78" s="57">
        <f>IF(OR(R78=リスト!O5),1,0)</f>
        <v>0</v>
      </c>
      <c r="W78" s="57">
        <f>V76</f>
        <v>0</v>
      </c>
      <c r="X78" s="196">
        <f>SUM(V78:W78)</f>
        <v>0</v>
      </c>
      <c r="Y78" s="22" t="s">
        <v>270</v>
      </c>
      <c r="Z78" s="42">
        <v>0.25</v>
      </c>
      <c r="AA78" s="1">
        <f>V78*Z78</f>
        <v>0</v>
      </c>
      <c r="AB78" s="197" t="str">
        <f>IF(V76=1,MAX(AA77:AA78),"-")</f>
        <v>-</v>
      </c>
      <c r="AC78" s="67" t="s">
        <v>212</v>
      </c>
      <c r="AE78" s="68">
        <v>0.5</v>
      </c>
      <c r="AF78" s="69">
        <f>W79*AE78</f>
        <v>0</v>
      </c>
      <c r="AG78" s="70">
        <f>IF('1.基本データ(このシートは削除しないこと！)'!H16=10,AF78,"-")</f>
        <v>0</v>
      </c>
      <c r="AJ78" s="1">
        <v>40</v>
      </c>
      <c r="AK78" s="1" t="s">
        <v>148</v>
      </c>
      <c r="AL78" s="1" t="s">
        <v>5</v>
      </c>
      <c r="AM78" s="23">
        <v>3</v>
      </c>
    </row>
    <row r="79" spans="1:51" ht="33" customHeight="1" thickBot="1" x14ac:dyDescent="0.25">
      <c r="A79" s="27"/>
      <c r="B79" s="372"/>
      <c r="C79" s="332" t="s">
        <v>368</v>
      </c>
      <c r="D79" s="333"/>
      <c r="E79" s="168">
        <f>AE77</f>
        <v>1</v>
      </c>
      <c r="F79" s="166" t="str">
        <f>AQ81</f>
        <v>-</v>
      </c>
      <c r="G79" s="302" t="s">
        <v>367</v>
      </c>
      <c r="H79" s="458"/>
      <c r="I79" s="439" t="s">
        <v>329</v>
      </c>
      <c r="J79" s="439"/>
      <c r="K79" s="487" t="s">
        <v>172</v>
      </c>
      <c r="L79" s="488"/>
      <c r="M79" s="488"/>
      <c r="N79" s="488"/>
      <c r="O79" s="488"/>
      <c r="P79" s="488"/>
      <c r="Q79" s="488"/>
      <c r="R79" s="488"/>
      <c r="S79" s="489"/>
      <c r="V79" s="1">
        <f>IF(AND('1.基本データ(このシートは削除しないこと！)'!$H$16=1,'2.様式第1号、第11号-2(地域密着型)'!$K$79=リスト!K9),1,0)</f>
        <v>0</v>
      </c>
      <c r="W79" s="1">
        <f>IF(AND('1.基本データ(このシートは削除しないこと！)'!$H$16=1,'2.様式第1号、第11号-2(地域密着型)'!$K$79=リスト!K10),1,0)</f>
        <v>0</v>
      </c>
      <c r="X79" s="1">
        <f>IF(AND('1.基本データ(このシートは削除しないこと！)'!$H$16&gt;1,'2.様式第1号、第11号-2(地域密着型)'!$K$79=リスト!K11),1,0)</f>
        <v>0</v>
      </c>
      <c r="Y79">
        <f>SUM(V79:X79)</f>
        <v>0</v>
      </c>
      <c r="Z79" s="72" t="s">
        <v>210</v>
      </c>
      <c r="AC79" s="73" t="s">
        <v>213</v>
      </c>
      <c r="AE79" s="68">
        <v>1</v>
      </c>
      <c r="AF79" s="69">
        <f>X79*AE79</f>
        <v>0</v>
      </c>
      <c r="AG79" s="70">
        <f>IF('1.基本データ(このシートは削除しないこと！)'!H16&gt;1,AF79,"-")</f>
        <v>0</v>
      </c>
      <c r="AJ79" s="1">
        <v>32</v>
      </c>
      <c r="AK79" s="1" t="s">
        <v>149</v>
      </c>
      <c r="AL79" s="1" t="s">
        <v>174</v>
      </c>
      <c r="AM79" s="23">
        <v>3</v>
      </c>
      <c r="AQ79" s="150" t="s">
        <v>171</v>
      </c>
      <c r="AS79" s="27" t="s">
        <v>198</v>
      </c>
      <c r="AY79" s="27"/>
    </row>
    <row r="80" spans="1:51" ht="32.1" customHeight="1" thickBot="1" x14ac:dyDescent="0.25">
      <c r="A80" s="27"/>
      <c r="B80" s="372"/>
      <c r="C80" s="366" t="s">
        <v>269</v>
      </c>
      <c r="D80" s="426"/>
      <c r="E80" s="369">
        <f>AM76</f>
        <v>6</v>
      </c>
      <c r="F80" s="311" t="str">
        <f>IF(OR(K81="-",K82="-"),"-",AQ87)</f>
        <v>-</v>
      </c>
      <c r="G80" s="392" t="s">
        <v>217</v>
      </c>
      <c r="H80" s="384"/>
      <c r="I80" s="384"/>
      <c r="J80" s="384"/>
      <c r="K80" s="384"/>
      <c r="L80" s="384"/>
      <c r="M80" s="384"/>
      <c r="N80" s="384"/>
      <c r="O80" s="384"/>
      <c r="P80" s="384"/>
      <c r="Q80" s="385"/>
      <c r="R80" s="453" t="s">
        <v>385</v>
      </c>
      <c r="S80" s="454"/>
      <c r="Z80" s="149" t="s">
        <v>235</v>
      </c>
      <c r="AA80" s="148"/>
      <c r="AB80" s="148"/>
      <c r="AC80" s="148"/>
      <c r="AE80" s="149" t="s">
        <v>152</v>
      </c>
      <c r="AF80" s="149"/>
      <c r="AG80" s="149"/>
      <c r="AJ80" s="1">
        <v>31</v>
      </c>
      <c r="AK80" s="1" t="s">
        <v>149</v>
      </c>
      <c r="AL80" s="1" t="s">
        <v>27</v>
      </c>
      <c r="AM80" s="23">
        <v>2.5</v>
      </c>
      <c r="AO80" s="71" t="s">
        <v>206</v>
      </c>
      <c r="AQ80" s="159" t="str">
        <f>IF(V76=1,MAX(AB77:AB78),"-")</f>
        <v>-</v>
      </c>
      <c r="AS80" s="11" t="s">
        <v>220</v>
      </c>
      <c r="AT80" s="124" t="s">
        <v>152</v>
      </c>
      <c r="AY80" s="27"/>
    </row>
    <row r="81" spans="1:51" ht="32.1" customHeight="1" thickBot="1" x14ac:dyDescent="0.25">
      <c r="A81" s="27"/>
      <c r="B81" s="372"/>
      <c r="C81" s="368"/>
      <c r="D81" s="427"/>
      <c r="E81" s="370"/>
      <c r="F81" s="312"/>
      <c r="G81" s="461" t="s">
        <v>258</v>
      </c>
      <c r="H81" s="302"/>
      <c r="I81" s="439" t="s">
        <v>329</v>
      </c>
      <c r="J81" s="439"/>
      <c r="K81" s="440" t="s">
        <v>172</v>
      </c>
      <c r="L81" s="441"/>
      <c r="M81" s="441"/>
      <c r="N81" s="441"/>
      <c r="O81" s="441"/>
      <c r="P81" s="441"/>
      <c r="Q81" s="442"/>
      <c r="R81" s="453"/>
      <c r="S81" s="454"/>
      <c r="T81" s="76"/>
      <c r="U81" s="76"/>
      <c r="V81" s="7" t="s">
        <v>214</v>
      </c>
      <c r="W81" s="77" t="str">
        <f>VLOOKUP(K81,リスト2!$C$3:$E$65,2,FALSE)</f>
        <v>-</v>
      </c>
      <c r="X81" s="78"/>
      <c r="Z81" s="79" t="s">
        <v>153</v>
      </c>
      <c r="AA81" s="80" t="s">
        <v>311</v>
      </c>
      <c r="AB81" s="80" t="s">
        <v>230</v>
      </c>
      <c r="AC81" s="81">
        <f>IF(K81="-",0,MAX(AC82:AC85))</f>
        <v>0</v>
      </c>
      <c r="AE81" s="79" t="s">
        <v>153</v>
      </c>
      <c r="AF81" s="80" t="s">
        <v>230</v>
      </c>
      <c r="AG81" s="81">
        <f>IF(K84="-",0,MAX(AG82:AG85))</f>
        <v>0</v>
      </c>
      <c r="AH81" s="21">
        <f>AC81-AG81</f>
        <v>0</v>
      </c>
      <c r="AJ81" s="1">
        <v>30</v>
      </c>
      <c r="AK81" s="1" t="s">
        <v>149</v>
      </c>
      <c r="AL81" s="1" t="s">
        <v>5</v>
      </c>
      <c r="AM81" s="23">
        <v>1.5</v>
      </c>
      <c r="AO81" s="71" t="s">
        <v>206</v>
      </c>
      <c r="AQ81" s="159" t="str">
        <f>IF(Y79=1,MAX(AG77:AG79),"-")</f>
        <v>-</v>
      </c>
      <c r="AS81" s="26">
        <f>IF($W83="同一市町村",1,10)</f>
        <v>10</v>
      </c>
      <c r="AT81" s="26">
        <f>IF($W86="同一市町村",1,10)</f>
        <v>10</v>
      </c>
      <c r="AW81" s="26">
        <f>IF(OR(W83="同一市町村",W83="同一土木"),1,0)</f>
        <v>0</v>
      </c>
      <c r="AX81" s="27" t="s">
        <v>286</v>
      </c>
      <c r="AY81" s="27"/>
    </row>
    <row r="82" spans="1:51" ht="32.1" customHeight="1" thickBot="1" x14ac:dyDescent="0.25">
      <c r="A82" s="27"/>
      <c r="B82" s="372"/>
      <c r="C82" s="368"/>
      <c r="D82" s="427"/>
      <c r="E82" s="370"/>
      <c r="F82" s="312"/>
      <c r="G82" s="462" t="s">
        <v>259</v>
      </c>
      <c r="H82" s="359"/>
      <c r="I82" s="439" t="s">
        <v>329</v>
      </c>
      <c r="J82" s="439"/>
      <c r="K82" s="322" t="s">
        <v>172</v>
      </c>
      <c r="L82" s="323"/>
      <c r="M82" s="323"/>
      <c r="N82" s="323"/>
      <c r="O82" s="323"/>
      <c r="P82" s="323"/>
      <c r="Q82" s="324"/>
      <c r="R82" s="453"/>
      <c r="S82" s="454"/>
      <c r="T82" s="76"/>
      <c r="U82" s="76"/>
      <c r="V82" s="7" t="s">
        <v>215</v>
      </c>
      <c r="W82" s="77" t="str">
        <f>VLOOKUP(K81,リスト2!$C$3:$E$65,3,FALSE)</f>
        <v>-</v>
      </c>
      <c r="X82" s="78"/>
      <c r="Z82" s="57">
        <f>IF(OR(K81='1.基本データ(このシートは削除しないこと！)'!D19,K81='1.基本データ(このシートは削除しないこと！)'!E19),40,0)</f>
        <v>40</v>
      </c>
      <c r="AA82" s="57">
        <f>IF(OR(K82="本店"),2,0)</f>
        <v>0</v>
      </c>
      <c r="AB82" s="57">
        <f>IF(OR(K82="準本店"),1,0)</f>
        <v>0</v>
      </c>
      <c r="AC82" s="57">
        <f>SUM(Z82:AB82)</f>
        <v>40</v>
      </c>
      <c r="AD82" t="s">
        <v>121</v>
      </c>
      <c r="AE82" s="57">
        <f>IF(OR(K84='1.基本データ(このシートは削除しないこと！)'!D19,'2.様式第1号、第11号-2(地域密着型)'!K84='1.基本データ(このシートは削除しないこと！)'!E19),40,0)</f>
        <v>40</v>
      </c>
      <c r="AF82" s="57">
        <f>IF(K85="準本店",1,0)</f>
        <v>0</v>
      </c>
      <c r="AG82" s="57">
        <f>SUM(AE82:AF82)</f>
        <v>40</v>
      </c>
      <c r="AH82" t="s">
        <v>156</v>
      </c>
      <c r="AJ82" s="1">
        <v>22</v>
      </c>
      <c r="AK82" s="1" t="s">
        <v>150</v>
      </c>
      <c r="AL82" s="1" t="s">
        <v>174</v>
      </c>
      <c r="AM82" s="171"/>
      <c r="AO82" s="172" t="e">
        <f>VLOOKUP(AB81,AJ76:AL87,3,FALSE)</f>
        <v>#N/A</v>
      </c>
      <c r="AS82" s="26">
        <f>IF($W83="同一土木",2,10)</f>
        <v>10</v>
      </c>
      <c r="AT82" s="74">
        <f>IF($W86="同一土木",2,10)</f>
        <v>10</v>
      </c>
      <c r="AU82" s="75"/>
      <c r="AV82" s="27"/>
      <c r="AW82" s="26">
        <f>IF(OR(AG82=41,AG83=31),1,0)</f>
        <v>0</v>
      </c>
      <c r="AX82" s="27" t="s">
        <v>287</v>
      </c>
      <c r="AY82" s="27"/>
    </row>
    <row r="83" spans="1:51" ht="32.1" customHeight="1" thickBot="1" x14ac:dyDescent="0.25">
      <c r="A83" s="27"/>
      <c r="B83" s="372"/>
      <c r="C83" s="368"/>
      <c r="D83" s="427"/>
      <c r="E83" s="370"/>
      <c r="F83" s="312"/>
      <c r="G83" s="392" t="s">
        <v>233</v>
      </c>
      <c r="H83" s="384"/>
      <c r="I83" s="384"/>
      <c r="J83" s="384"/>
      <c r="K83" s="384"/>
      <c r="L83" s="384"/>
      <c r="M83" s="384"/>
      <c r="N83" s="384"/>
      <c r="O83" s="384"/>
      <c r="P83" s="384"/>
      <c r="Q83" s="385"/>
      <c r="R83" s="453"/>
      <c r="S83" s="454"/>
      <c r="T83" s="76"/>
      <c r="U83" s="76"/>
      <c r="V83" s="7" t="s">
        <v>218</v>
      </c>
      <c r="W83" s="8" t="str">
        <f>IF(K81="-","-",VLOOKUP($AC$81,AJ75:AM87,2,FALSE))</f>
        <v>-</v>
      </c>
      <c r="X83" s="8" t="str">
        <f>IF(K82="本店","本店",IF(K82="準本店","準本店","支店等"))</f>
        <v>支店等</v>
      </c>
      <c r="Z83" s="1">
        <f>IF(OR(W81='1.基本データ(このシートは削除しないこと！)'!D20,W81='1.基本データ(このシートは削除しないこと！)'!E20),30,0)</f>
        <v>30</v>
      </c>
      <c r="AA83" s="1">
        <f>IF(OR(K82="本店"),2,0)</f>
        <v>0</v>
      </c>
      <c r="AB83" s="1">
        <f>IF(OR(K82="準本店"),1,0)</f>
        <v>0</v>
      </c>
      <c r="AC83" s="57">
        <f t="shared" ref="AC83:AC85" si="4">SUM(Z83:AB83)</f>
        <v>30</v>
      </c>
      <c r="AD83" t="s">
        <v>157</v>
      </c>
      <c r="AE83" s="1">
        <f>IF(OR(W84='1.基本データ(このシートは削除しないこと！)'!D20,'2.様式第1号、第11号-2(地域密着型)'!W84='1.基本データ(このシートは削除しないこと！)'!E20),30,0)</f>
        <v>30</v>
      </c>
      <c r="AF83" s="57">
        <f>IF(K85="準本店",1,0)</f>
        <v>0</v>
      </c>
      <c r="AG83" s="57">
        <f>SUM(AE83:AF83)</f>
        <v>30</v>
      </c>
      <c r="AH83" t="s">
        <v>157</v>
      </c>
      <c r="AJ83" s="1">
        <v>21</v>
      </c>
      <c r="AK83" s="1" t="s">
        <v>150</v>
      </c>
      <c r="AL83" s="1" t="s">
        <v>27</v>
      </c>
      <c r="AM83" s="171"/>
      <c r="AN83" s="71"/>
      <c r="AO83" s="173" t="s">
        <v>151</v>
      </c>
      <c r="AP83" s="174"/>
      <c r="AS83" s="26">
        <f>IF($W83="同一建設",3,10)</f>
        <v>10</v>
      </c>
      <c r="AT83" s="26">
        <f>IF($W86="同一建設",3,10)</f>
        <v>10</v>
      </c>
      <c r="AW83" s="175">
        <f>IF(OR(AW81=1,AW82=1),1,0)</f>
        <v>0</v>
      </c>
      <c r="AX83" s="27" t="s">
        <v>288</v>
      </c>
    </row>
    <row r="84" spans="1:51" ht="32.1" customHeight="1" thickBot="1" x14ac:dyDescent="0.25">
      <c r="A84" s="27"/>
      <c r="B84" s="372"/>
      <c r="C84" s="368"/>
      <c r="D84" s="427"/>
      <c r="E84" s="370"/>
      <c r="F84" s="312"/>
      <c r="G84" s="461" t="s">
        <v>260</v>
      </c>
      <c r="H84" s="302"/>
      <c r="I84" s="439" t="s">
        <v>329</v>
      </c>
      <c r="J84" s="439"/>
      <c r="K84" s="440" t="s">
        <v>172</v>
      </c>
      <c r="L84" s="441"/>
      <c r="M84" s="441"/>
      <c r="N84" s="441"/>
      <c r="O84" s="441"/>
      <c r="P84" s="441"/>
      <c r="Q84" s="442"/>
      <c r="R84" s="453"/>
      <c r="S84" s="454"/>
      <c r="T84" s="76"/>
      <c r="U84" s="76"/>
      <c r="V84" s="7" t="s">
        <v>219</v>
      </c>
      <c r="W84" s="77" t="str">
        <f>VLOOKUP(K84,リスト2!$C$3:$E$65,2,FALSE)</f>
        <v>-</v>
      </c>
      <c r="X84" s="77" t="str">
        <f>IF(K85="準本店","準本店","-")</f>
        <v>-</v>
      </c>
      <c r="Z84" s="1">
        <f>IF(OR(W82='1.基本データ(このシートは削除しないこと！)'!D21,W82='1.基本データ(このシートは削除しないこと！)'!E21),20,0)</f>
        <v>20</v>
      </c>
      <c r="AA84" s="1">
        <f>IF(OR(K82="本店"),2,0)</f>
        <v>0</v>
      </c>
      <c r="AB84" s="1">
        <f>IF(OR(K82="準本店"),1,0)</f>
        <v>0</v>
      </c>
      <c r="AC84" s="57">
        <f t="shared" si="4"/>
        <v>20</v>
      </c>
      <c r="AD84" t="s">
        <v>158</v>
      </c>
      <c r="AE84" s="1">
        <f>IF(OR(W85='1.基本データ(このシートは削除しないこと！)'!D21,'2.様式第1号、第11号-2(地域密着型)'!W85='1.基本データ(このシートは削除しないこと！)'!E21),20,0)</f>
        <v>20</v>
      </c>
      <c r="AF84" s="1">
        <f>IF(K85="準本店",1,0)</f>
        <v>0</v>
      </c>
      <c r="AG84" s="57">
        <f>SUM(AE84:AF84)</f>
        <v>20</v>
      </c>
      <c r="AH84" t="s">
        <v>158</v>
      </c>
      <c r="AJ84" s="1">
        <v>20</v>
      </c>
      <c r="AK84" s="1" t="s">
        <v>150</v>
      </c>
      <c r="AL84" s="1" t="s">
        <v>5</v>
      </c>
      <c r="AM84" s="171"/>
      <c r="AN84" s="71"/>
      <c r="AO84" s="176" t="s">
        <v>154</v>
      </c>
      <c r="AP84" s="176" t="s">
        <v>152</v>
      </c>
      <c r="AS84" s="26">
        <f>IF($W83="県内",4,10)</f>
        <v>10</v>
      </c>
      <c r="AT84" s="26">
        <f>IF($W86="県内",4,10)</f>
        <v>10</v>
      </c>
    </row>
    <row r="85" spans="1:51" ht="32.1" customHeight="1" thickTop="1" thickBot="1" x14ac:dyDescent="0.25">
      <c r="A85" s="27"/>
      <c r="B85" s="372"/>
      <c r="C85" s="368"/>
      <c r="D85" s="427"/>
      <c r="E85" s="370"/>
      <c r="F85" s="312"/>
      <c r="G85" s="460" t="s">
        <v>261</v>
      </c>
      <c r="H85" s="355"/>
      <c r="I85" s="439" t="s">
        <v>329</v>
      </c>
      <c r="J85" s="439"/>
      <c r="K85" s="322" t="s">
        <v>172</v>
      </c>
      <c r="L85" s="323"/>
      <c r="M85" s="323"/>
      <c r="N85" s="323"/>
      <c r="O85" s="323"/>
      <c r="P85" s="323"/>
      <c r="Q85" s="324"/>
      <c r="R85" s="453"/>
      <c r="S85" s="454"/>
      <c r="T85" s="84"/>
      <c r="U85" s="84"/>
      <c r="V85" s="7" t="s">
        <v>215</v>
      </c>
      <c r="W85" s="77" t="str">
        <f>VLOOKUP(K84,リスト2!$C$3:$E$65,3,FALSE)</f>
        <v>-</v>
      </c>
      <c r="X85" s="77" t="str">
        <f>IF(K85="準本店","準本店","-")</f>
        <v>-</v>
      </c>
      <c r="Z85" s="47">
        <f>IF(OR(W82='1.基本データ(このシートは削除しないこと！)'!D21,W82='1.基本データ(このシートは削除しないこと！)'!E21),0,10)</f>
        <v>0</v>
      </c>
      <c r="AA85" s="47">
        <f>IF(OR(K82="本店"),2,0)</f>
        <v>0</v>
      </c>
      <c r="AB85" s="47">
        <f>IF(OR(K82="準本店"),1,0)</f>
        <v>0</v>
      </c>
      <c r="AC85" s="47">
        <f t="shared" si="4"/>
        <v>0</v>
      </c>
      <c r="AD85" t="s">
        <v>6</v>
      </c>
      <c r="AE85" s="47">
        <f>IF(OR(W85='1.基本データ(このシートは削除しないこと！)'!D21,'2.様式第1号、第11号-2(地域密着型)'!W85='1.基本データ(このシートは削除しないこと！)'!E21),0,10)</f>
        <v>0</v>
      </c>
      <c r="AF85" s="47">
        <f>IF(K85="準本店",1,0)</f>
        <v>0</v>
      </c>
      <c r="AG85" s="47">
        <f>SUM(AE85:AF85)</f>
        <v>0</v>
      </c>
      <c r="AH85" t="s">
        <v>155</v>
      </c>
      <c r="AJ85" s="1">
        <v>12</v>
      </c>
      <c r="AK85" s="1" t="s">
        <v>6</v>
      </c>
      <c r="AL85" s="1" t="s">
        <v>174</v>
      </c>
      <c r="AM85" s="171"/>
      <c r="AN85" s="177" t="s">
        <v>282</v>
      </c>
      <c r="AO85" s="23" t="e">
        <f>IF(AND('1.基本データ(このシートは削除しないこと！)'!H17=2,AC81&gt;=30),VLOOKUP(AC81,AJ75:AM81,4,0),0)</f>
        <v>#N/A</v>
      </c>
      <c r="AP85" s="23" t="e">
        <f>IF(AND('1.基本データ(このシートは削除しないこと！)'!H17=2,AG81&gt;=30),VLOOKUP(AG81,AJ75:AM81,4,0),0)</f>
        <v>#N/A</v>
      </c>
      <c r="AS85" s="82">
        <f>MIN(AS81:AS84)</f>
        <v>10</v>
      </c>
      <c r="AT85" s="82">
        <f>MIN(AT81:AT84)</f>
        <v>10</v>
      </c>
      <c r="AU85" s="27"/>
      <c r="AV85" s="83"/>
    </row>
    <row r="86" spans="1:51" ht="19.95" customHeight="1" thickBot="1" x14ac:dyDescent="0.25">
      <c r="A86" s="27"/>
      <c r="B86" s="372"/>
      <c r="C86" s="368"/>
      <c r="D86" s="427"/>
      <c r="E86" s="370"/>
      <c r="F86" s="312"/>
      <c r="G86" s="15" t="s">
        <v>262</v>
      </c>
      <c r="H86" s="16"/>
      <c r="I86" s="16"/>
      <c r="J86" s="17"/>
      <c r="K86" s="327" t="str">
        <f>IF(K81="-","-",W87)</f>
        <v>-</v>
      </c>
      <c r="L86" s="328"/>
      <c r="M86" s="328"/>
      <c r="N86" s="328"/>
      <c r="O86" s="328"/>
      <c r="P86" s="328"/>
      <c r="Q86" s="329"/>
      <c r="R86" s="453"/>
      <c r="S86" s="454"/>
      <c r="T86" s="84"/>
      <c r="U86" s="84"/>
      <c r="V86" s="9" t="s">
        <v>218</v>
      </c>
      <c r="W86" s="10" t="str">
        <f>IF(K84="-","-",VLOOKUP(AG81,AJ76:AM87,2,FALSE))</f>
        <v>-</v>
      </c>
      <c r="X86" s="10" t="str">
        <f>IF(K84="-","-",VLOOKUP($AG$81,AJ78:AM86,3,FALSE))</f>
        <v>-</v>
      </c>
      <c r="Y86" s="85"/>
      <c r="Z86" s="86"/>
      <c r="AE86" s="1">
        <f>IF(K85="-",0,1)</f>
        <v>0</v>
      </c>
      <c r="AH86" s="71"/>
      <c r="AJ86" s="1">
        <v>11</v>
      </c>
      <c r="AK86" s="1" t="s">
        <v>6</v>
      </c>
      <c r="AL86" s="1" t="s">
        <v>27</v>
      </c>
      <c r="AM86" s="171"/>
      <c r="AN86" s="177" t="s">
        <v>283</v>
      </c>
      <c r="AO86" s="23" t="e">
        <f>IF(AND('1.基本データ(このシートは削除しないこと！)'!H17=3,AC81&gt;=20),VLOOKUP(AC81,AJ75:AM84,4,0),0)</f>
        <v>#N/A</v>
      </c>
      <c r="AP86" s="23" t="e">
        <f>IF(AND('1.基本データ(このシートは削除しないこと！)'!H17=3,AG81&gt;=20),VLOOKUP(AG81,AJ75:AM84,4,0),0)</f>
        <v>#N/A</v>
      </c>
      <c r="AQ86" s="154" t="s">
        <v>171</v>
      </c>
      <c r="AT86" s="26">
        <f>MIN(AS85:AT85)</f>
        <v>10</v>
      </c>
      <c r="AU86" s="27" t="s">
        <v>199</v>
      </c>
    </row>
    <row r="87" spans="1:51" ht="19.95" customHeight="1" thickBot="1" x14ac:dyDescent="0.25">
      <c r="A87" s="27"/>
      <c r="B87" s="374"/>
      <c r="C87" s="381"/>
      <c r="D87" s="428"/>
      <c r="E87" s="457"/>
      <c r="F87" s="313"/>
      <c r="G87" s="18"/>
      <c r="H87" s="19"/>
      <c r="I87" s="19"/>
      <c r="J87" s="20" t="s">
        <v>342</v>
      </c>
      <c r="K87" s="448" t="str">
        <f>IF(K82="-","-",X87)</f>
        <v>-</v>
      </c>
      <c r="L87" s="449"/>
      <c r="M87" s="449"/>
      <c r="N87" s="449"/>
      <c r="O87" s="449"/>
      <c r="P87" s="449"/>
      <c r="Q87" s="450"/>
      <c r="R87" s="455"/>
      <c r="S87" s="456"/>
      <c r="T87" s="84"/>
      <c r="U87" s="84"/>
      <c r="V87" s="7" t="s">
        <v>234</v>
      </c>
      <c r="W87" s="87" t="str">
        <f>IF(AH81&gt;=0,W83,W86)</f>
        <v>-</v>
      </c>
      <c r="X87" s="87" t="str">
        <f>IF(AH81&gt;=0,X83,X86)</f>
        <v>支店等</v>
      </c>
      <c r="Y87" s="178">
        <f>IF(OR(W83="同一市町村",W83="同一土木"),1,0)*IF(OR(X83="本店",X83="準本店"),1,0)</f>
        <v>0</v>
      </c>
      <c r="Z87" s="179" t="s">
        <v>289</v>
      </c>
      <c r="AH87" s="71"/>
      <c r="AJ87" s="1">
        <v>10</v>
      </c>
      <c r="AK87" s="1" t="s">
        <v>6</v>
      </c>
      <c r="AL87" s="1" t="s">
        <v>5</v>
      </c>
      <c r="AM87" s="171"/>
      <c r="AN87" s="177" t="s">
        <v>284</v>
      </c>
      <c r="AO87" s="23" t="e">
        <f>IF(AND('1.基本データ(このシートは削除しないこと！)'!H17=4,AC81&gt;=10),VLOOKUP(AC81,AJ75:AM87,4,0),0)</f>
        <v>#N/A</v>
      </c>
      <c r="AP87" s="23" t="e">
        <f>IF(AND('1.基本データ(このシートは削除しないこと！)'!H17=4,AG81&gt;=10),VLOOKUP(AG81,AJ75:AM87,4,0),0)</f>
        <v>#N/A</v>
      </c>
      <c r="AQ87" s="180" t="e">
        <f>MAX(AO85:AP87)</f>
        <v>#N/A</v>
      </c>
      <c r="AT87" s="21" t="e">
        <f>IF(AT86&lt;='1.基本データ(このシートは削除しないこと！)'!H17,1,0)</f>
        <v>#N/A</v>
      </c>
      <c r="AU87" t="s">
        <v>221</v>
      </c>
    </row>
    <row r="88" spans="1:51" ht="24" customHeight="1" thickBot="1" x14ac:dyDescent="0.25">
      <c r="A88" s="27"/>
      <c r="B88" s="451" t="str">
        <f>IF(Y87=0,"※入札参加者が同一土木事務所管内の本店又は準本店でないため、「ボランティア活動」と「選択項目」は評価対象外です。","")</f>
        <v>※入札参加者が同一土木事務所管内の本店又は準本店でないため、「ボランティア活動」と「選択項目」は評価対象外です。</v>
      </c>
      <c r="C88" s="451"/>
      <c r="D88" s="451"/>
      <c r="E88" s="451"/>
      <c r="F88" s="451"/>
      <c r="G88" s="451"/>
      <c r="H88" s="451"/>
      <c r="I88" s="452"/>
      <c r="J88" s="452"/>
      <c r="K88" s="452"/>
      <c r="L88" s="452"/>
      <c r="M88" s="452"/>
      <c r="N88" s="452"/>
      <c r="O88" s="452"/>
      <c r="P88" s="452"/>
      <c r="Q88" s="452"/>
      <c r="R88" s="452"/>
      <c r="S88" s="451"/>
      <c r="T88" s="84"/>
      <c r="U88" s="84"/>
      <c r="W88" s="63"/>
      <c r="X88" s="88"/>
      <c r="Y88" s="88"/>
      <c r="Z88" s="89"/>
      <c r="AG88" s="71"/>
      <c r="AR88" t="s">
        <v>222</v>
      </c>
    </row>
    <row r="89" spans="1:51" ht="32.1" customHeight="1" thickBot="1" x14ac:dyDescent="0.25">
      <c r="A89" s="27"/>
      <c r="B89" s="317" t="s">
        <v>0</v>
      </c>
      <c r="C89" s="317"/>
      <c r="D89" s="317"/>
      <c r="E89" s="33" t="s">
        <v>173</v>
      </c>
      <c r="F89" s="34" t="s">
        <v>3</v>
      </c>
      <c r="G89" s="490" t="s">
        <v>343</v>
      </c>
      <c r="H89" s="491"/>
      <c r="I89" s="491"/>
      <c r="J89" s="491"/>
      <c r="K89" s="491"/>
      <c r="L89" s="491"/>
      <c r="M89" s="491"/>
      <c r="N89" s="491"/>
      <c r="O89" s="491"/>
      <c r="P89" s="491"/>
      <c r="Q89" s="492"/>
      <c r="R89" s="25" t="s">
        <v>238</v>
      </c>
      <c r="S89" s="90" t="s">
        <v>239</v>
      </c>
      <c r="T89" s="84"/>
      <c r="U89" s="84"/>
      <c r="V89" s="91" t="s">
        <v>165</v>
      </c>
      <c r="W89" s="91" t="s">
        <v>207</v>
      </c>
      <c r="X89" s="91" t="s">
        <v>224</v>
      </c>
      <c r="Y89" s="92" t="s">
        <v>159</v>
      </c>
      <c r="Z89" s="93" t="s">
        <v>161</v>
      </c>
      <c r="AA89" s="94" t="s">
        <v>160</v>
      </c>
      <c r="AB89" s="93" t="s">
        <v>162</v>
      </c>
      <c r="AC89" s="94" t="s">
        <v>163</v>
      </c>
      <c r="AD89" s="95" t="s">
        <v>164</v>
      </c>
      <c r="AE89" s="95" t="s">
        <v>208</v>
      </c>
      <c r="AF89" s="181" t="s">
        <v>290</v>
      </c>
      <c r="AG89" s="96" t="s">
        <v>166</v>
      </c>
      <c r="AH89" s="96" t="s">
        <v>167</v>
      </c>
      <c r="AI89" s="96" t="s">
        <v>209</v>
      </c>
      <c r="AK89" s="96" t="s">
        <v>169</v>
      </c>
      <c r="AL89" s="96" t="s">
        <v>170</v>
      </c>
      <c r="AM89" s="96" t="s">
        <v>209</v>
      </c>
      <c r="AN89" s="182" t="s">
        <v>282</v>
      </c>
      <c r="AO89" s="182" t="s">
        <v>285</v>
      </c>
      <c r="AP89" s="183" t="s">
        <v>284</v>
      </c>
      <c r="AQ89" s="154" t="s">
        <v>171</v>
      </c>
      <c r="AS89" s="21" t="e">
        <f>IF(AS85&lt;'1.基本データ(このシートは削除しないこと！)'!H17+1,1,0)</f>
        <v>#N/A</v>
      </c>
      <c r="AT89" t="s">
        <v>200</v>
      </c>
    </row>
    <row r="90" spans="1:51" ht="34.950000000000003" customHeight="1" thickBot="1" x14ac:dyDescent="0.25">
      <c r="A90" s="27"/>
      <c r="B90" s="432" t="s">
        <v>194</v>
      </c>
      <c r="C90" s="430" t="s">
        <v>266</v>
      </c>
      <c r="D90" s="333"/>
      <c r="E90" s="97">
        <f>AG90</f>
        <v>1.25</v>
      </c>
      <c r="F90" s="163" t="str">
        <f>IF(OR($Y$87=0,V90=0),"-",AQ90)</f>
        <v>-</v>
      </c>
      <c r="G90" s="355" t="s">
        <v>228</v>
      </c>
      <c r="H90" s="493"/>
      <c r="I90" s="493"/>
      <c r="J90" s="493"/>
      <c r="K90" s="493"/>
      <c r="L90" s="493"/>
      <c r="M90" s="493"/>
      <c r="N90" s="493"/>
      <c r="O90" s="493"/>
      <c r="P90" s="493"/>
      <c r="Q90" s="493"/>
      <c r="R90" s="193" t="s">
        <v>172</v>
      </c>
      <c r="S90" s="147" t="s">
        <v>172</v>
      </c>
      <c r="T90" s="84"/>
      <c r="U90" s="84"/>
      <c r="V90" s="1">
        <f t="shared" ref="V90:V95" si="5">IF(R90="有",1,0)</f>
        <v>0</v>
      </c>
      <c r="W90" s="47"/>
      <c r="X90" s="1">
        <f t="shared" ref="X90:X95" si="6">IF(S90="-",0,1)</f>
        <v>0</v>
      </c>
      <c r="Y90" s="98">
        <f>IF(OR(S90='1.基本データ(このシートは削除しないこと！)'!$D$19,'2.様式第1号、第11号-2(地域密着型)'!S90='1.基本データ(このシートは削除しないこと！)'!$E$19),1,0)</f>
        <v>1</v>
      </c>
      <c r="Z90" s="99" t="str">
        <f>VLOOKUP(S90,リスト2!$C$3:$E$65,2,FALSE)</f>
        <v>-</v>
      </c>
      <c r="AA90" s="100">
        <f>IF(OR(Z90='1.基本データ(このシートは削除しないこと！)'!$D$20,Z90='1.基本データ(このシートは削除しないこと！)'!$E$20),1,0)</f>
        <v>1</v>
      </c>
      <c r="AB90" s="99" t="str">
        <f>VLOOKUP(S90,リスト2!$C$3:$E$65,3,FALSE)</f>
        <v>-</v>
      </c>
      <c r="AC90" s="100">
        <f>IF(OR(AB90='1.基本データ(このシートは削除しないこと！)'!$D$21,AB90='1.基本データ(このシートは削除しないこと！)'!$E$21),1,0)</f>
        <v>1</v>
      </c>
      <c r="AD90" s="101">
        <f t="shared" ref="AD90:AD91" si="7">Y90+AA90+AC90</f>
        <v>3</v>
      </c>
      <c r="AE90" s="101">
        <f>IF(AND('1.基本データ(このシートは削除しないこと！)'!$D$17="全国",AB90&lt;&gt;"-"),4,0)</f>
        <v>0</v>
      </c>
      <c r="AF90" s="184" t="str">
        <f>VLOOKUP(S90,リスト2!$C$3:$F$65,4,FALSE)</f>
        <v>-</v>
      </c>
      <c r="AG90" s="102">
        <v>1.25</v>
      </c>
      <c r="AH90" s="102">
        <v>1.25</v>
      </c>
      <c r="AI90" s="102">
        <v>0</v>
      </c>
      <c r="AK90" s="103">
        <f>IF($V90*$X90*$AD90=3,AG90,0)</f>
        <v>0</v>
      </c>
      <c r="AL90" s="103">
        <f t="shared" ref="AL90:AL98" si="8">IF($V90*X90*$AD90=2,AH90,0)</f>
        <v>0</v>
      </c>
      <c r="AM90" s="103">
        <f>IF(OR($V90*$X90*$AD90=1,$V90*$X90*$AE90=4),AI90,0)</f>
        <v>0</v>
      </c>
      <c r="AN90" s="42" t="e">
        <f>IF('1.基本データ(このシートは削除しないこと！)'!$H$17=2,MAX(AK90:AL90),0)</f>
        <v>#N/A</v>
      </c>
      <c r="AO90" s="42" t="e">
        <f>IF('1.基本データ(このシートは削除しないこと！)'!$H$17=3,MAX(AK90:AM90),0)</f>
        <v>#N/A</v>
      </c>
      <c r="AP90" s="185" t="e">
        <f>IF(AND('1.基本データ(このシートは削除しないこと！)'!$H$17=4,AF90="県内"),W90*AI90,0)</f>
        <v>#N/A</v>
      </c>
      <c r="AQ90" s="155" t="str">
        <f>IF(AW83=1,MAX(AN90:AP90),"-")</f>
        <v>-</v>
      </c>
    </row>
    <row r="91" spans="1:51" ht="34.950000000000003" customHeight="1" thickBot="1" x14ac:dyDescent="0.25">
      <c r="A91" s="27"/>
      <c r="B91" s="432"/>
      <c r="C91" s="431" t="s">
        <v>265</v>
      </c>
      <c r="D91" s="366"/>
      <c r="E91" s="164">
        <f>AG91</f>
        <v>0.5</v>
      </c>
      <c r="F91" s="192" t="str">
        <f>IF((V91=0),"-",AQ91)</f>
        <v>-</v>
      </c>
      <c r="G91" s="431" t="s">
        <v>229</v>
      </c>
      <c r="H91" s="365"/>
      <c r="I91" s="365"/>
      <c r="J91" s="365"/>
      <c r="K91" s="365"/>
      <c r="L91" s="365"/>
      <c r="M91" s="365"/>
      <c r="N91" s="365"/>
      <c r="O91" s="365"/>
      <c r="P91" s="365"/>
      <c r="Q91" s="365"/>
      <c r="R91" s="193" t="s">
        <v>172</v>
      </c>
      <c r="S91" s="147" t="s">
        <v>172</v>
      </c>
      <c r="T91" s="84"/>
      <c r="U91" s="84"/>
      <c r="V91" s="1">
        <f t="shared" si="5"/>
        <v>0</v>
      </c>
      <c r="W91" s="47"/>
      <c r="X91" s="1">
        <f t="shared" si="6"/>
        <v>0</v>
      </c>
      <c r="Y91" s="98">
        <f>IF(OR(S91='1.基本データ(このシートは削除しないこと！)'!$D$19,'2.様式第1号、第11号-2(地域密着型)'!S91='1.基本データ(このシートは削除しないこと！)'!$E$19),1,0)</f>
        <v>1</v>
      </c>
      <c r="Z91" s="99" t="str">
        <f>VLOOKUP(S91,リスト2!$C$3:$E$65,2,FALSE)</f>
        <v>-</v>
      </c>
      <c r="AA91" s="100">
        <f>IF(OR(Z91='1.基本データ(このシートは削除しないこと！)'!$D$20,Z91='1.基本データ(このシートは削除しないこと！)'!$E$20),1,0)</f>
        <v>1</v>
      </c>
      <c r="AB91" s="99" t="str">
        <f>VLOOKUP(S91,リスト2!$C$3:$E$65,3,FALSE)</f>
        <v>-</v>
      </c>
      <c r="AC91" s="100">
        <f>IF(OR(AB91='1.基本データ(このシートは削除しないこと！)'!$D$21,AB91='1.基本データ(このシートは削除しないこと！)'!$E$21),1,0)</f>
        <v>1</v>
      </c>
      <c r="AD91" s="101">
        <f t="shared" si="7"/>
        <v>3</v>
      </c>
      <c r="AE91" s="101">
        <f>IF(AND('1.基本データ(このシートは削除しないこと！)'!$D$17="全国",AB91&lt;&gt;"-"),4,0)</f>
        <v>0</v>
      </c>
      <c r="AF91" s="184" t="str">
        <f>VLOOKUP(S91,リスト2!$C$3:$F$65,4,FALSE)</f>
        <v>-</v>
      </c>
      <c r="AG91" s="102">
        <v>0.5</v>
      </c>
      <c r="AH91" s="102">
        <v>0.5</v>
      </c>
      <c r="AI91" s="102">
        <v>0.25</v>
      </c>
      <c r="AK91" s="103">
        <f>IF($V91*X91*$AD91=3,AG91,0)</f>
        <v>0</v>
      </c>
      <c r="AL91" s="103">
        <f t="shared" si="8"/>
        <v>0</v>
      </c>
      <c r="AM91" s="103">
        <f t="shared" ref="AM91:AM98" si="9">IF(OR($V91*$X91*$AD91=1,$V91*$X91*$AE91=4),AI91,0)</f>
        <v>0</v>
      </c>
      <c r="AN91" s="42" t="e">
        <f>IF('1.基本データ(このシートは削除しないこと！)'!$H$17=2,MAX(AK91:AM91),0)</f>
        <v>#N/A</v>
      </c>
      <c r="AO91" s="42" t="e">
        <f>IF('1.基本データ(このシートは削除しないこと！)'!$H$17=3,MAX(AK91:AM91),0)</f>
        <v>#N/A</v>
      </c>
      <c r="AP91" s="185" t="e">
        <f>IF(AND('1.基本データ(このシートは削除しないこと！)'!$H$17=4,AF91="県内"),W91*AG91,0)</f>
        <v>#N/A</v>
      </c>
      <c r="AQ91" s="156" t="e">
        <f>MAX(AN91:AP91)</f>
        <v>#N/A</v>
      </c>
    </row>
    <row r="92" spans="1:51" ht="72" customHeight="1" thickBot="1" x14ac:dyDescent="0.25">
      <c r="A92" s="27"/>
      <c r="B92" s="432"/>
      <c r="C92" s="443" t="s">
        <v>240</v>
      </c>
      <c r="D92" s="401" t="s">
        <v>387</v>
      </c>
      <c r="E92" s="409">
        <v>1.75</v>
      </c>
      <c r="F92" s="406" t="e">
        <f>IF(OR($Y$87=0,AQ92=0,SUM(V92:V94)=0),"-",AU92)</f>
        <v>#N/A</v>
      </c>
      <c r="G92" s="481" t="s">
        <v>388</v>
      </c>
      <c r="H92" s="483" t="s">
        <v>336</v>
      </c>
      <c r="I92" s="483"/>
      <c r="J92" s="483"/>
      <c r="K92" s="483"/>
      <c r="L92" s="483"/>
      <c r="M92" s="483"/>
      <c r="N92" s="483"/>
      <c r="O92" s="483"/>
      <c r="P92" s="483"/>
      <c r="Q92" s="484"/>
      <c r="R92" s="193" t="s">
        <v>172</v>
      </c>
      <c r="S92" s="410" t="s">
        <v>172</v>
      </c>
      <c r="T92" s="104"/>
      <c r="U92" s="104"/>
      <c r="V92" s="105">
        <f t="shared" si="5"/>
        <v>0</v>
      </c>
      <c r="W92" s="404">
        <f>IF(SUM(V92:V94)&gt;0,1,0)</f>
        <v>0</v>
      </c>
      <c r="X92" s="224">
        <f t="shared" si="6"/>
        <v>0</v>
      </c>
      <c r="Y92" s="232">
        <f>IF(OR(S92='1.基本データ(このシートは削除しないこと！)'!$D$19,'2.様式第1号、第11号-2(地域密着型)'!S92='1.基本データ(このシートは削除しないこと！)'!$E$19),1,0)</f>
        <v>1</v>
      </c>
      <c r="Z92" s="233" t="str">
        <f>VLOOKUP(S92,リスト2!$C$3:$E$65,2,FALSE)</f>
        <v>-</v>
      </c>
      <c r="AA92" s="234">
        <f>IF(OR(Z92='1.基本データ(このシートは削除しないこと！)'!$D$20,Z92='1.基本データ(このシートは削除しないこと！)'!$E$20),1,0)</f>
        <v>1</v>
      </c>
      <c r="AB92" s="233" t="str">
        <f>VLOOKUP(S92,リスト2!$C$3:$E$65,3,FALSE)</f>
        <v>-</v>
      </c>
      <c r="AC92" s="234">
        <f>IF(OR(AB92='1.基本データ(このシートは削除しないこと！)'!$D$21,AB92='1.基本データ(このシートは削除しないこと！)'!$E$21),1,0)</f>
        <v>1</v>
      </c>
      <c r="AD92" s="235">
        <f>IF(Y92+AA92+AC92=3,2,Y92+AA92+AC92)</f>
        <v>2</v>
      </c>
      <c r="AE92" s="223">
        <f>IF(AND('1.基本データ(このシートは削除しないこと！)'!$D$17="全国",AB92&lt;&gt;"-"),4,0)</f>
        <v>0</v>
      </c>
      <c r="AF92" s="184" t="str">
        <f>VLOOKUP(S92,リスト2!$C$3:$F$65,4,FALSE)</f>
        <v>-</v>
      </c>
      <c r="AG92" s="231"/>
      <c r="AH92" s="114">
        <v>1.5</v>
      </c>
      <c r="AI92" s="114">
        <v>1.5</v>
      </c>
      <c r="AK92" s="110">
        <f>IF($V92*X92*$AD92=3,AG92,0)</f>
        <v>0</v>
      </c>
      <c r="AL92" s="110">
        <f t="shared" si="8"/>
        <v>0</v>
      </c>
      <c r="AM92" s="110">
        <f t="shared" si="9"/>
        <v>0</v>
      </c>
      <c r="AN92" s="186" t="e">
        <f>IF('1.基本データ(このシートは削除しないこと！)'!$H$17=2,MAX(AK92:AL92),0)</f>
        <v>#N/A</v>
      </c>
      <c r="AO92" s="186" t="e">
        <f>IF('1.基本データ(このシートは削除しないこと！)'!$H$17=3,MAX(AK92:AM92),0)</f>
        <v>#N/A</v>
      </c>
      <c r="AP92" s="187" t="e">
        <f>IF(AND('1.基本データ(このシートは削除しないこと！)'!$H$17=4,AF92="県内"),W92*AI92,0)</f>
        <v>#N/A</v>
      </c>
      <c r="AQ92" s="436" t="e">
        <f>IF(W92&lt;=2,MAX(AN92:AP94),"-")</f>
        <v>#N/A</v>
      </c>
      <c r="AR92" s="422" t="e">
        <f>RANK(AQ92,$AQ$92:$AQ$101,0)</f>
        <v>#N/A</v>
      </c>
      <c r="AS92" s="197" t="e">
        <f>AQ92</f>
        <v>#N/A</v>
      </c>
      <c r="AT92" s="199" t="e">
        <f>AQ92+0.25</f>
        <v>#N/A</v>
      </c>
      <c r="AU92" s="21" t="str">
        <f>IF(AU93=1,MAX(AS92:AT92),IF(AU93=2,MIN(AS92:AT92),"-"))</f>
        <v>-</v>
      </c>
    </row>
    <row r="93" spans="1:51" ht="35.4" customHeight="1" thickBot="1" x14ac:dyDescent="0.25">
      <c r="A93" s="27"/>
      <c r="B93" s="432"/>
      <c r="C93" s="444"/>
      <c r="D93" s="402"/>
      <c r="E93" s="399"/>
      <c r="F93" s="407"/>
      <c r="G93" s="482"/>
      <c r="H93" s="308" t="s">
        <v>337</v>
      </c>
      <c r="I93" s="308"/>
      <c r="J93" s="308"/>
      <c r="K93" s="308"/>
      <c r="L93" s="308"/>
      <c r="M93" s="308"/>
      <c r="N93" s="308"/>
      <c r="O93" s="308"/>
      <c r="P93" s="308"/>
      <c r="Q93" s="420"/>
      <c r="R93" s="193" t="s">
        <v>172</v>
      </c>
      <c r="S93" s="411"/>
      <c r="T93" s="104"/>
      <c r="U93" s="104"/>
      <c r="V93" s="105">
        <f t="shared" si="5"/>
        <v>0</v>
      </c>
      <c r="W93" s="429"/>
      <c r="X93" s="225">
        <f>X92</f>
        <v>0</v>
      </c>
      <c r="Y93" s="225">
        <f t="shared" ref="Y93:AE93" si="10">Y92</f>
        <v>1</v>
      </c>
      <c r="Z93" s="255" t="str">
        <f t="shared" si="10"/>
        <v>-</v>
      </c>
      <c r="AA93" s="259">
        <f t="shared" si="10"/>
        <v>1</v>
      </c>
      <c r="AB93" s="260" t="str">
        <f t="shared" si="10"/>
        <v>-</v>
      </c>
      <c r="AC93" s="257">
        <f t="shared" si="10"/>
        <v>1</v>
      </c>
      <c r="AD93" s="225">
        <f t="shared" si="10"/>
        <v>2</v>
      </c>
      <c r="AE93" s="225">
        <f t="shared" si="10"/>
        <v>0</v>
      </c>
      <c r="AF93" s="184" t="str">
        <f>AF92</f>
        <v>-</v>
      </c>
      <c r="AG93" s="239"/>
      <c r="AH93" s="240">
        <v>1.25</v>
      </c>
      <c r="AI93" s="240">
        <v>1.25</v>
      </c>
      <c r="AK93" s="110">
        <f>IF($V93*X93*$AD93=3,AG93,0)</f>
        <v>0</v>
      </c>
      <c r="AL93" s="110">
        <f t="shared" si="8"/>
        <v>0</v>
      </c>
      <c r="AM93" s="110">
        <f t="shared" ref="AM93" si="11">IF(OR($V93*$X93*$AD93=1,$V93*$X93*$AE93=4),AI93,0)</f>
        <v>0</v>
      </c>
      <c r="AN93" s="188" t="e">
        <f>IF('1.基本データ(このシートは削除しないこと！)'!$H$17=2,MAX(AK93:AL93),0)</f>
        <v>#N/A</v>
      </c>
      <c r="AO93" s="188" t="e">
        <f>IF('1.基本データ(このシートは削除しないこと！)'!$H$17=3,MAX(AK93:AM93),0)</f>
        <v>#N/A</v>
      </c>
      <c r="AP93" s="189" t="e">
        <f>IF(AND('1.基本データ(このシートは削除しないこと！)'!$H$17=4,AF93="県内"),W93*AI93,0)</f>
        <v>#N/A</v>
      </c>
      <c r="AQ93" s="437"/>
      <c r="AR93" s="423"/>
      <c r="AS93" s="1"/>
      <c r="AT93" s="198"/>
      <c r="AU93" s="57">
        <f>IF(G94=リスト!Q4,1,IF(G94=リスト!Q5,2,0))</f>
        <v>0</v>
      </c>
      <c r="AV93" s="174">
        <f>AU93</f>
        <v>0</v>
      </c>
    </row>
    <row r="94" spans="1:51" ht="54.6" customHeight="1" thickBot="1" x14ac:dyDescent="0.25">
      <c r="A94" s="27"/>
      <c r="B94" s="432"/>
      <c r="C94" s="444"/>
      <c r="D94" s="403"/>
      <c r="E94" s="398"/>
      <c r="F94" s="408"/>
      <c r="G94" s="270" t="s">
        <v>172</v>
      </c>
      <c r="H94" s="314" t="s">
        <v>338</v>
      </c>
      <c r="I94" s="308"/>
      <c r="J94" s="308"/>
      <c r="K94" s="308"/>
      <c r="L94" s="308"/>
      <c r="M94" s="308"/>
      <c r="N94" s="308"/>
      <c r="O94" s="308"/>
      <c r="P94" s="308"/>
      <c r="Q94" s="420"/>
      <c r="R94" s="193" t="s">
        <v>172</v>
      </c>
      <c r="S94" s="412"/>
      <c r="T94" s="104"/>
      <c r="U94" s="104"/>
      <c r="V94" s="105">
        <f t="shared" si="5"/>
        <v>0</v>
      </c>
      <c r="W94" s="405"/>
      <c r="X94" s="238">
        <f>X92</f>
        <v>0</v>
      </c>
      <c r="Y94" s="238">
        <f t="shared" ref="Y94:AE94" si="12">Y92</f>
        <v>1</v>
      </c>
      <c r="Z94" s="256" t="str">
        <f t="shared" si="12"/>
        <v>-</v>
      </c>
      <c r="AA94" s="261">
        <f t="shared" si="12"/>
        <v>1</v>
      </c>
      <c r="AB94" s="262" t="str">
        <f t="shared" si="12"/>
        <v>-</v>
      </c>
      <c r="AC94" s="258">
        <f t="shared" si="12"/>
        <v>1</v>
      </c>
      <c r="AD94" s="238">
        <f t="shared" si="12"/>
        <v>2</v>
      </c>
      <c r="AE94" s="238">
        <f t="shared" si="12"/>
        <v>0</v>
      </c>
      <c r="AF94" s="184" t="str">
        <f>AF92</f>
        <v>-</v>
      </c>
      <c r="AG94" s="236"/>
      <c r="AH94" s="237">
        <v>0.75</v>
      </c>
      <c r="AI94" s="237">
        <v>0.75</v>
      </c>
      <c r="AK94" s="110">
        <f>IF($V94*X94*$AD94=3,AG94,0)</f>
        <v>0</v>
      </c>
      <c r="AL94" s="110">
        <f t="shared" si="8"/>
        <v>0</v>
      </c>
      <c r="AM94" s="110">
        <f>IF(OR($V94*$X94*$AD94=1,$V94*$X94*$AE94=4),AI94,0)</f>
        <v>0</v>
      </c>
      <c r="AN94" s="190" t="e">
        <f>IF('1.基本データ(このシートは削除しないこと！)'!$H$17=2,MAX(AK94:AL94),0)</f>
        <v>#N/A</v>
      </c>
      <c r="AO94" s="190" t="e">
        <f>IF('1.基本データ(このシートは削除しないこと！)'!$H$17=3,MAX(AK94:AM94),0)</f>
        <v>#N/A</v>
      </c>
      <c r="AP94" s="191" t="e">
        <f>IF(AND('1.基本データ(このシートは削除しないこと！)'!$H$17=4,AF94="県内"),W94*AI94,0)</f>
        <v>#N/A</v>
      </c>
      <c r="AQ94" s="438"/>
      <c r="AR94" s="424"/>
    </row>
    <row r="95" spans="1:51" ht="79.95" customHeight="1" thickBot="1" x14ac:dyDescent="0.25">
      <c r="A95" s="27"/>
      <c r="B95" s="432"/>
      <c r="C95" s="444"/>
      <c r="D95" s="306" t="s">
        <v>264</v>
      </c>
      <c r="E95" s="397">
        <f>AG95</f>
        <v>1.25</v>
      </c>
      <c r="F95" s="394" t="str">
        <f>IF(OR($Y$87=0,V95+V96=0),"-",AQ95)</f>
        <v>-</v>
      </c>
      <c r="G95" s="421" t="s">
        <v>344</v>
      </c>
      <c r="H95" s="308"/>
      <c r="I95" s="308"/>
      <c r="J95" s="308"/>
      <c r="K95" s="308"/>
      <c r="L95" s="308"/>
      <c r="M95" s="308"/>
      <c r="N95" s="308"/>
      <c r="O95" s="308"/>
      <c r="P95" s="308"/>
      <c r="Q95" s="420"/>
      <c r="R95" s="193" t="s">
        <v>172</v>
      </c>
      <c r="S95" s="410" t="s">
        <v>172</v>
      </c>
      <c r="T95" s="111"/>
      <c r="U95" s="111"/>
      <c r="V95" s="105">
        <f t="shared" si="5"/>
        <v>0</v>
      </c>
      <c r="W95" s="404">
        <f>IF(SUM(V95:V96)&gt;0,1,0)+W92</f>
        <v>0</v>
      </c>
      <c r="X95" s="112">
        <f t="shared" si="6"/>
        <v>0</v>
      </c>
      <c r="Y95" s="106">
        <f>IF(OR(S95='1.基本データ(このシートは削除しないこと！)'!$D$19,'2.様式第1号、第11号-2(地域密着型)'!S95='1.基本データ(このシートは削除しないこと！)'!$E$19),1,0)</f>
        <v>1</v>
      </c>
      <c r="Z95" s="107" t="str">
        <f>VLOOKUP(S95,リスト2!$C$3:$E$65,2,FALSE)</f>
        <v>-</v>
      </c>
      <c r="AA95" s="108">
        <f>IF(OR(Z95='1.基本データ(このシートは削除しないこと！)'!$D$20,Z95='1.基本データ(このシートは削除しないこと！)'!$E$20),1,0)</f>
        <v>1</v>
      </c>
      <c r="AB95" s="107" t="str">
        <f>VLOOKUP(S95,リスト2!$C$3:$E$65,3,FALSE)</f>
        <v>-</v>
      </c>
      <c r="AC95" s="108">
        <f>IF(OR(AB95='1.基本データ(このシートは削除しないこと！)'!$D$21,AB95='1.基本データ(このシートは削除しないこと！)'!$E$21),1,0)</f>
        <v>1</v>
      </c>
      <c r="AD95" s="109">
        <f>Y95+AA95+AC95</f>
        <v>3</v>
      </c>
      <c r="AE95" s="113">
        <f>IF(AND('1.基本データ(このシートは削除しないこと！)'!$D$17="全国",AB95&lt;&gt;"-"),4,0)</f>
        <v>0</v>
      </c>
      <c r="AF95" s="184" t="str">
        <f>VLOOKUP(S95,リスト2!$C$3:$F$65,4,FALSE)</f>
        <v>-</v>
      </c>
      <c r="AG95" s="114">
        <v>1.25</v>
      </c>
      <c r="AH95" s="114">
        <v>1.25</v>
      </c>
      <c r="AI95" s="114">
        <v>1.25</v>
      </c>
      <c r="AK95" s="110">
        <f>IF($V95*$X95*$AD95=3,AG95,0)</f>
        <v>0</v>
      </c>
      <c r="AL95" s="110">
        <f t="shared" si="8"/>
        <v>0</v>
      </c>
      <c r="AM95" s="110">
        <f>IF(OR($V95*$X95*$AD95=1,$V95*$X95*$AE95=4),AI95,0)</f>
        <v>0</v>
      </c>
      <c r="AN95" s="186" t="e">
        <f>IF('1.基本データ(このシートは削除しないこと！)'!$H$17=2,MAX(AK95:AL95),0)</f>
        <v>#N/A</v>
      </c>
      <c r="AO95" s="186" t="e">
        <f>IF('1.基本データ(このシートは削除しないこと！)'!$H$17=3,MAX(AK95:AM95),0)</f>
        <v>#N/A</v>
      </c>
      <c r="AP95" s="187" t="e">
        <f>IF(AND('1.基本データ(このシートは削除しないこと！)'!$H$17=4,AF95="県内"),W95*AI95,0)</f>
        <v>#N/A</v>
      </c>
      <c r="AQ95" s="157" t="e">
        <f>IF(W95&lt;=2,MAX(AN95:AP96),"-")</f>
        <v>#N/A</v>
      </c>
      <c r="AR95" s="422" t="e">
        <f>RANK(AQ95,$AQ$92:$AQ$101,0)</f>
        <v>#N/A</v>
      </c>
    </row>
    <row r="96" spans="1:51" ht="34.950000000000003" customHeight="1" thickBot="1" x14ac:dyDescent="0.25">
      <c r="A96" s="27"/>
      <c r="B96" s="432"/>
      <c r="C96" s="444"/>
      <c r="D96" s="416"/>
      <c r="E96" s="398"/>
      <c r="F96" s="396"/>
      <c r="G96" s="308" t="s">
        <v>345</v>
      </c>
      <c r="H96" s="308"/>
      <c r="I96" s="308"/>
      <c r="J96" s="308"/>
      <c r="K96" s="308"/>
      <c r="L96" s="308"/>
      <c r="M96" s="308"/>
      <c r="N96" s="308"/>
      <c r="O96" s="308"/>
      <c r="P96" s="308"/>
      <c r="Q96" s="420"/>
      <c r="R96" s="193" t="s">
        <v>172</v>
      </c>
      <c r="S96" s="412"/>
      <c r="T96" s="104"/>
      <c r="U96" s="104"/>
      <c r="V96" s="57">
        <f t="shared" ref="V96:V101" si="13">IF(R96="有",1,0)</f>
        <v>0</v>
      </c>
      <c r="W96" s="405"/>
      <c r="X96" s="162">
        <f>X95</f>
        <v>0</v>
      </c>
      <c r="Y96" s="162">
        <f t="shared" ref="Y96:AE96" si="14">Y95</f>
        <v>1</v>
      </c>
      <c r="Z96" s="263" t="str">
        <f t="shared" si="14"/>
        <v>-</v>
      </c>
      <c r="AA96" s="266">
        <f t="shared" si="14"/>
        <v>1</v>
      </c>
      <c r="AB96" s="267" t="str">
        <f t="shared" si="14"/>
        <v>-</v>
      </c>
      <c r="AC96" s="265">
        <f t="shared" si="14"/>
        <v>1</v>
      </c>
      <c r="AD96" s="162">
        <f t="shared" si="14"/>
        <v>3</v>
      </c>
      <c r="AE96" s="162">
        <f t="shared" si="14"/>
        <v>0</v>
      </c>
      <c r="AF96" s="184" t="str">
        <f>AF95</f>
        <v>-</v>
      </c>
      <c r="AG96" s="116">
        <v>0.75</v>
      </c>
      <c r="AH96" s="116">
        <v>0.75</v>
      </c>
      <c r="AI96" s="116">
        <v>0.75</v>
      </c>
      <c r="AK96" s="117">
        <f>IF($V96*$X96*$AD96=3,AG96,0)</f>
        <v>0</v>
      </c>
      <c r="AL96" s="117">
        <f t="shared" si="8"/>
        <v>0</v>
      </c>
      <c r="AM96" s="117">
        <f t="shared" si="9"/>
        <v>0</v>
      </c>
      <c r="AN96" s="190" t="e">
        <f>IF('1.基本データ(このシートは削除しないこと！)'!$H$17=2,MAX(AK96:AL96),0)</f>
        <v>#N/A</v>
      </c>
      <c r="AO96" s="190" t="e">
        <f>IF('1.基本データ(このシートは削除しないこと！)'!$H$17=3,MAX(AK96:AM96),0)</f>
        <v>#N/A</v>
      </c>
      <c r="AP96" s="191" t="e">
        <f>IF(AND('1.基本データ(このシートは削除しないこと！)'!$H$17=4,AF96="県内"),W96*AI96,0)</f>
        <v>#N/A</v>
      </c>
      <c r="AQ96" s="158"/>
      <c r="AR96" s="424"/>
    </row>
    <row r="97" spans="1:48" ht="34.950000000000003" customHeight="1" thickBot="1" x14ac:dyDescent="0.25">
      <c r="A97" s="27"/>
      <c r="B97" s="432"/>
      <c r="C97" s="444"/>
      <c r="D97" s="306" t="s">
        <v>237</v>
      </c>
      <c r="E97" s="397">
        <f>AG97</f>
        <v>1.25</v>
      </c>
      <c r="F97" s="394" t="str">
        <f>IF(OR($Y$87=0,V97+V98=0),"-",AQ97)</f>
        <v>-</v>
      </c>
      <c r="G97" s="308" t="s">
        <v>227</v>
      </c>
      <c r="H97" s="308"/>
      <c r="I97" s="308"/>
      <c r="J97" s="308"/>
      <c r="K97" s="308"/>
      <c r="L97" s="308"/>
      <c r="M97" s="308"/>
      <c r="N97" s="308"/>
      <c r="O97" s="308"/>
      <c r="P97" s="308"/>
      <c r="Q97" s="420"/>
      <c r="R97" s="193" t="s">
        <v>172</v>
      </c>
      <c r="S97" s="410" t="s">
        <v>172</v>
      </c>
      <c r="T97" s="104"/>
      <c r="U97" s="104"/>
      <c r="V97" s="105">
        <f>IF(R97="有",1,0)</f>
        <v>0</v>
      </c>
      <c r="W97" s="404">
        <f>IF(SUM(V97:V98)&gt;0,1,0)+W95</f>
        <v>0</v>
      </c>
      <c r="X97" s="112">
        <f>IF(S97="-",0,1)</f>
        <v>0</v>
      </c>
      <c r="Y97" s="106">
        <f>IF(OR(S97='1.基本データ(このシートは削除しないこと！)'!$D$19,'2.様式第1号、第11号-2(地域密着型)'!S97='1.基本データ(このシートは削除しないこと！)'!$E$19),1,0)</f>
        <v>1</v>
      </c>
      <c r="Z97" s="264" t="str">
        <f>VLOOKUP(S97,リスト2!$C$3:$E$65,2,FALSE)</f>
        <v>-</v>
      </c>
      <c r="AA97" s="108">
        <f>IF(OR(Z97='1.基本データ(このシートは削除しないこと！)'!$D$20,Z97='1.基本データ(このシートは削除しないこと！)'!$E$20),1,0)</f>
        <v>1</v>
      </c>
      <c r="AB97" s="107" t="str">
        <f>VLOOKUP(S97,リスト2!$C$3:$E$65,3,FALSE)</f>
        <v>-</v>
      </c>
      <c r="AC97" s="109">
        <f>IF(OR(AB97='1.基本データ(このシートは削除しないこと！)'!$D$21,AB97='1.基本データ(このシートは削除しないこと！)'!$E$21),1,0)</f>
        <v>1</v>
      </c>
      <c r="AD97" s="109">
        <f t="shared" ref="AD97:AD99" si="15">Y97+AA97+AC97</f>
        <v>3</v>
      </c>
      <c r="AE97" s="113">
        <f>IF(AND('1.基本データ(このシートは削除しないこと！)'!$D$17="全国",AB97&lt;&gt;"-"),4,0)</f>
        <v>0</v>
      </c>
      <c r="AF97" s="184" t="str">
        <f>VLOOKUP(S97,リスト2!$C$3:$F$65,4,FALSE)</f>
        <v>-</v>
      </c>
      <c r="AG97" s="114">
        <v>1.25</v>
      </c>
      <c r="AH97" s="114">
        <v>1.25</v>
      </c>
      <c r="AI97" s="114">
        <v>1.25</v>
      </c>
      <c r="AK97" s="110">
        <f>IF($V97*X97*$AD97=3,AG97,0)</f>
        <v>0</v>
      </c>
      <c r="AL97" s="110">
        <f t="shared" si="8"/>
        <v>0</v>
      </c>
      <c r="AM97" s="110">
        <f>IF(OR($V97*$X97*$AD97=1,$V97*$X97*$AE97=4),AI97,0)</f>
        <v>0</v>
      </c>
      <c r="AN97" s="186" t="e">
        <f>IF('1.基本データ(このシートは削除しないこと！)'!$H$17=2,MAX(AK97:AL97),0)</f>
        <v>#N/A</v>
      </c>
      <c r="AO97" s="186" t="e">
        <f>IF('1.基本データ(このシートは削除しないこと！)'!$H$17=3,MAX(AK97:AM97),0)</f>
        <v>#N/A</v>
      </c>
      <c r="AP97" s="187" t="e">
        <f>IF(AND('1.基本データ(このシートは削除しないこと！)'!$H$17=4,AF97="県内"),W97*AI97,0)</f>
        <v>#N/A</v>
      </c>
      <c r="AQ97" s="157" t="e">
        <f>IF(W97&lt;=2,MAX(AN97:AP98),"-")</f>
        <v>#N/A</v>
      </c>
      <c r="AR97" s="422" t="e">
        <f>RANK(AQ97,$AQ$92:$AQ$101,0)+(IF(AQ95=1.25,1,0))+(IF(AQ95=0.75,1,0))</f>
        <v>#N/A</v>
      </c>
    </row>
    <row r="98" spans="1:48" ht="34.950000000000003" customHeight="1" thickBot="1" x14ac:dyDescent="0.25">
      <c r="A98" s="27"/>
      <c r="B98" s="432"/>
      <c r="C98" s="444"/>
      <c r="D98" s="416"/>
      <c r="E98" s="398"/>
      <c r="F98" s="396"/>
      <c r="G98" s="308" t="s">
        <v>223</v>
      </c>
      <c r="H98" s="308"/>
      <c r="I98" s="308"/>
      <c r="J98" s="308"/>
      <c r="K98" s="308"/>
      <c r="L98" s="308"/>
      <c r="M98" s="308"/>
      <c r="N98" s="308"/>
      <c r="O98" s="308"/>
      <c r="P98" s="308"/>
      <c r="Q98" s="420"/>
      <c r="R98" s="193" t="s">
        <v>172</v>
      </c>
      <c r="S98" s="412"/>
      <c r="T98" s="118"/>
      <c r="U98" s="118"/>
      <c r="V98" s="57">
        <f>IF(R98="有",1,0)</f>
        <v>0</v>
      </c>
      <c r="W98" s="405"/>
      <c r="X98" s="162">
        <f>X97</f>
        <v>0</v>
      </c>
      <c r="Y98" s="162">
        <f t="shared" ref="Y98:AE98" si="16">Y97</f>
        <v>1</v>
      </c>
      <c r="Z98" s="263" t="str">
        <f t="shared" si="16"/>
        <v>-</v>
      </c>
      <c r="AA98" s="268">
        <f t="shared" si="16"/>
        <v>1</v>
      </c>
      <c r="AB98" s="262" t="str">
        <f t="shared" si="16"/>
        <v>-</v>
      </c>
      <c r="AC98" s="265">
        <f t="shared" si="16"/>
        <v>1</v>
      </c>
      <c r="AD98" s="162">
        <f t="shared" si="16"/>
        <v>3</v>
      </c>
      <c r="AE98" s="162">
        <f t="shared" si="16"/>
        <v>0</v>
      </c>
      <c r="AF98" s="184" t="str">
        <f>AF97</f>
        <v>-</v>
      </c>
      <c r="AG98" s="116">
        <v>0.75</v>
      </c>
      <c r="AH98" s="116">
        <v>0.75</v>
      </c>
      <c r="AI98" s="116">
        <v>0.75</v>
      </c>
      <c r="AK98" s="117">
        <f>IF($V98*X98*$AD98=3,AG98,0)</f>
        <v>0</v>
      </c>
      <c r="AL98" s="117">
        <f t="shared" si="8"/>
        <v>0</v>
      </c>
      <c r="AM98" s="117">
        <f t="shared" si="9"/>
        <v>0</v>
      </c>
      <c r="AN98" s="190" t="e">
        <f>IF('1.基本データ(このシートは削除しないこと！)'!$H$17=2,MAX(AK98:AL98),0)</f>
        <v>#N/A</v>
      </c>
      <c r="AO98" s="190" t="e">
        <f>IF('1.基本データ(このシートは削除しないこと！)'!$H$17=3,MAX(AK98:AM98),0)</f>
        <v>#N/A</v>
      </c>
      <c r="AP98" s="191" t="e">
        <f>IF(AND('1.基本データ(このシートは削除しないこと！)'!$H$17=4,AF98="県内"),W98*AI98,0)</f>
        <v>#N/A</v>
      </c>
      <c r="AQ98" s="158"/>
      <c r="AR98" s="424"/>
    </row>
    <row r="99" spans="1:48" ht="65.400000000000006" customHeight="1" thickBot="1" x14ac:dyDescent="0.25">
      <c r="A99" s="27"/>
      <c r="B99" s="432"/>
      <c r="C99" s="444"/>
      <c r="D99" s="413" t="s">
        <v>389</v>
      </c>
      <c r="E99" s="397">
        <v>1.75</v>
      </c>
      <c r="F99" s="433" t="e">
        <f>IF(OR('1.基本データ(このシートは削除しないこと！)'!H16=10,$Y$87=0,AQ99=0,SUM(V99:V101)=0),"-",AU99)</f>
        <v>#N/A</v>
      </c>
      <c r="G99" s="306" t="s">
        <v>386</v>
      </c>
      <c r="H99" s="308" t="s">
        <v>349</v>
      </c>
      <c r="I99" s="308"/>
      <c r="J99" s="308"/>
      <c r="K99" s="308"/>
      <c r="L99" s="308"/>
      <c r="M99" s="308"/>
      <c r="N99" s="308"/>
      <c r="O99" s="308"/>
      <c r="P99" s="308"/>
      <c r="Q99" s="420"/>
      <c r="R99" s="193" t="s">
        <v>172</v>
      </c>
      <c r="S99" s="410" t="s">
        <v>172</v>
      </c>
      <c r="T99" s="104"/>
      <c r="U99" s="104"/>
      <c r="V99" s="224">
        <f t="shared" si="13"/>
        <v>0</v>
      </c>
      <c r="W99" s="404">
        <f>IF(SUM(V99:V101)&gt;0,1,0)+W97</f>
        <v>0</v>
      </c>
      <c r="X99" s="112">
        <f>IF(S99="-",0,1)</f>
        <v>0</v>
      </c>
      <c r="Y99" s="106">
        <f>IF(OR(S99='1.基本データ(このシートは削除しないこと！)'!$D$19,'2.様式第1号、第11号-2(地域密着型)'!S99='1.基本データ(このシートは削除しないこと！)'!$E$19),1,0)</f>
        <v>1</v>
      </c>
      <c r="Z99" s="107" t="str">
        <f>VLOOKUP(S99,リスト2!$C$3:$E$65,2,FALSE)</f>
        <v>-</v>
      </c>
      <c r="AA99" s="108">
        <f>IF(OR(Z99='1.基本データ(このシートは削除しないこと！)'!$D$20,Z99='1.基本データ(このシートは削除しないこと！)'!$E$20),1,0)</f>
        <v>1</v>
      </c>
      <c r="AB99" s="107" t="str">
        <f>VLOOKUP(S99,リスト2!$C$3:$E$65,3,FALSE)</f>
        <v>-</v>
      </c>
      <c r="AC99" s="108">
        <f>IF(OR(AB99='1.基本データ(このシートは削除しないこと！)'!$D$21,AB99='1.基本データ(このシートは削除しないこと！)'!$E$21),1,0)</f>
        <v>1</v>
      </c>
      <c r="AD99" s="109">
        <f t="shared" si="15"/>
        <v>3</v>
      </c>
      <c r="AE99" s="109">
        <f>IF(AND('1.基本データ(このシートは削除しないこと！)'!$D$17="全国",AB99&lt;&gt;"-"),4,0)</f>
        <v>0</v>
      </c>
      <c r="AF99" s="184" t="str">
        <f>VLOOKUP(S99,リスト2!$C$3:$F$65,4,FALSE)</f>
        <v>-</v>
      </c>
      <c r="AG99" s="102">
        <f>IF('1.基本データ(このシートは削除しないこと！)'!H16=1,1.5,0)</f>
        <v>0</v>
      </c>
      <c r="AH99" s="102">
        <f>IF('1.基本データ(このシートは削除しないこと！)'!H16=1,1.5,0)</f>
        <v>0</v>
      </c>
      <c r="AI99" s="102">
        <f>IF('1.基本データ(このシートは削除しないこと！)'!H16=1,1.5,0)</f>
        <v>0</v>
      </c>
      <c r="AK99" s="241">
        <f>IF($V99*X99*$AD99=3,AG99,0)</f>
        <v>0</v>
      </c>
      <c r="AL99" s="242">
        <f>IF($V99*X99*$AD99=2,AH99,0)</f>
        <v>0</v>
      </c>
      <c r="AM99" s="242">
        <f>IF(OR($V99*$X99*$AD99=1,$V99*$X99*$AE99=4),AI99,0)</f>
        <v>0</v>
      </c>
      <c r="AN99" s="186" t="e">
        <f>IF('1.基本データ(このシートは削除しないこと！)'!$H$17=2,MAX(AK99:AL99),0)</f>
        <v>#N/A</v>
      </c>
      <c r="AO99" s="186" t="e">
        <f>IF('1.基本データ(このシートは削除しないこと！)'!$H$17=3,MAX(AK99:AM99),0)</f>
        <v>#N/A</v>
      </c>
      <c r="AP99" s="187" t="e">
        <f>IF(AND('1.基本データ(このシートは削除しないこと！)'!$H$17=4,AF99="県内"),W99*AI99,0)</f>
        <v>#N/A</v>
      </c>
      <c r="AQ99" s="294" t="e">
        <f>IF(W99&lt;=2,MAX(AN99:AP101),"-")</f>
        <v>#N/A</v>
      </c>
      <c r="AR99" s="422" t="e">
        <f>RANK(AQ99,$AQ$92:$AQ$101,0)</f>
        <v>#N/A</v>
      </c>
      <c r="AS99" s="197" t="e">
        <f>AQ99</f>
        <v>#N/A</v>
      </c>
      <c r="AT99" s="199" t="e">
        <f>AQ99+0.25</f>
        <v>#N/A</v>
      </c>
      <c r="AU99" s="21" t="str">
        <f>IF(AU101=1,MAX(AS99:AT99),IF(AU101=2,MIN(AS99:AT99),"-"))</f>
        <v>-</v>
      </c>
    </row>
    <row r="100" spans="1:48" ht="60" customHeight="1" thickBot="1" x14ac:dyDescent="0.25">
      <c r="A100" s="27"/>
      <c r="B100" s="432"/>
      <c r="C100" s="444"/>
      <c r="D100" s="414"/>
      <c r="E100" s="399"/>
      <c r="F100" s="434"/>
      <c r="G100" s="307"/>
      <c r="H100" s="308" t="s">
        <v>374</v>
      </c>
      <c r="I100" s="309"/>
      <c r="J100" s="309"/>
      <c r="K100" s="309"/>
      <c r="L100" s="309"/>
      <c r="M100" s="309"/>
      <c r="N100" s="309"/>
      <c r="O100" s="309"/>
      <c r="P100" s="309"/>
      <c r="Q100" s="310"/>
      <c r="R100" s="193" t="s">
        <v>172</v>
      </c>
      <c r="S100" s="411"/>
      <c r="T100" s="104"/>
      <c r="U100" s="104"/>
      <c r="V100" s="225">
        <f>IF(R100="有",1,0)</f>
        <v>0</v>
      </c>
      <c r="W100" s="429"/>
      <c r="X100" s="226">
        <f t="shared" ref="X100:AF100" si="17">X99</f>
        <v>0</v>
      </c>
      <c r="Y100" s="227">
        <f t="shared" si="17"/>
        <v>1</v>
      </c>
      <c r="Z100" s="228" t="str">
        <f t="shared" si="17"/>
        <v>-</v>
      </c>
      <c r="AA100" s="229">
        <f t="shared" si="17"/>
        <v>1</v>
      </c>
      <c r="AB100" s="228" t="str">
        <f t="shared" si="17"/>
        <v>-</v>
      </c>
      <c r="AC100" s="229">
        <f t="shared" si="17"/>
        <v>1</v>
      </c>
      <c r="AD100" s="230">
        <f t="shared" si="17"/>
        <v>3</v>
      </c>
      <c r="AE100" s="230">
        <f t="shared" si="17"/>
        <v>0</v>
      </c>
      <c r="AF100" s="184" t="str">
        <f t="shared" si="17"/>
        <v>-</v>
      </c>
      <c r="AG100" s="102">
        <v>1</v>
      </c>
      <c r="AH100" s="102">
        <v>1</v>
      </c>
      <c r="AI100" s="102">
        <v>1</v>
      </c>
      <c r="AK100" s="244">
        <f>IF($V100*X100*$AD100=3,AG100,0)</f>
        <v>0</v>
      </c>
      <c r="AL100" s="245">
        <f>IF($V100*X100*$AD100=2,AH100,0)</f>
        <v>0</v>
      </c>
      <c r="AM100" s="245">
        <f>IF(OR($V100*$X100*$AD100=1,$V100*$X100*$AE100=4),AI100,0)</f>
        <v>0</v>
      </c>
      <c r="AN100" s="188" t="e">
        <f>IF('1.基本データ(このシートは削除しないこと！)'!$H$17=2,MAX(AK100:AL100),0)</f>
        <v>#N/A</v>
      </c>
      <c r="AO100" s="188" t="e">
        <f>IF('1.基本データ(このシートは削除しないこと！)'!$H$17=3,MAX(AK100:AM100),0)</f>
        <v>#N/A</v>
      </c>
      <c r="AP100" s="189" t="e">
        <f>IF(AND('1.基本データ(このシートは削除しないこと！)'!$H$17=4,AF100="県内"),W100*AI100,0)</f>
        <v>#N/A</v>
      </c>
      <c r="AQ100" s="295"/>
      <c r="AR100" s="423"/>
      <c r="AS100" s="197"/>
      <c r="AT100" s="199"/>
    </row>
    <row r="101" spans="1:48" ht="60" customHeight="1" thickBot="1" x14ac:dyDescent="0.25">
      <c r="A101" s="27"/>
      <c r="B101" s="432"/>
      <c r="C101" s="445"/>
      <c r="D101" s="415"/>
      <c r="E101" s="400"/>
      <c r="F101" s="435"/>
      <c r="G101" s="271" t="s">
        <v>172</v>
      </c>
      <c r="H101" s="417" t="s">
        <v>375</v>
      </c>
      <c r="I101" s="418"/>
      <c r="J101" s="418"/>
      <c r="K101" s="418"/>
      <c r="L101" s="418"/>
      <c r="M101" s="418"/>
      <c r="N101" s="418"/>
      <c r="O101" s="418"/>
      <c r="P101" s="418"/>
      <c r="Q101" s="419"/>
      <c r="R101" s="193" t="s">
        <v>172</v>
      </c>
      <c r="S101" s="412"/>
      <c r="T101" s="104"/>
      <c r="U101" s="104"/>
      <c r="V101" s="57">
        <f t="shared" si="13"/>
        <v>0</v>
      </c>
      <c r="W101" s="405"/>
      <c r="X101" s="162">
        <f>X99</f>
        <v>0</v>
      </c>
      <c r="Y101" s="115">
        <f>Y99</f>
        <v>1</v>
      </c>
      <c r="Z101" s="99" t="str">
        <f>Z99</f>
        <v>-</v>
      </c>
      <c r="AA101" s="100">
        <f t="shared" ref="AA101:AE101" si="18">AA99</f>
        <v>1</v>
      </c>
      <c r="AB101" s="99" t="str">
        <f t="shared" si="18"/>
        <v>-</v>
      </c>
      <c r="AC101" s="100">
        <f t="shared" si="18"/>
        <v>1</v>
      </c>
      <c r="AD101" s="101">
        <f t="shared" si="18"/>
        <v>3</v>
      </c>
      <c r="AE101" s="101">
        <f t="shared" si="18"/>
        <v>0</v>
      </c>
      <c r="AF101" s="184" t="str">
        <f>AF99</f>
        <v>-</v>
      </c>
      <c r="AG101" s="102">
        <v>0.75</v>
      </c>
      <c r="AH101" s="102">
        <v>0.75</v>
      </c>
      <c r="AI101" s="102">
        <v>0.75</v>
      </c>
      <c r="AK101" s="117">
        <f>IF($V101*X101*$AD101=3,AG101,0)</f>
        <v>0</v>
      </c>
      <c r="AL101" s="243">
        <f>IF($V101*X101*$AD101=2,AH101,0)</f>
        <v>0</v>
      </c>
      <c r="AM101" s="243">
        <f>IF(OR($V101*$X101*$AD101=1,$V101*$X101*$AE101=4),AI101,0)</f>
        <v>0</v>
      </c>
      <c r="AN101" s="246" t="e">
        <f>IF('1.基本データ(このシートは削除しないこと！)'!$H$17=2,MAX(AK101:AL101),0)</f>
        <v>#N/A</v>
      </c>
      <c r="AO101" s="246" t="e">
        <f>IF('1.基本データ(このシートは削除しないこと！)'!$H$17=3,MAX(AK101:AM101),0)</f>
        <v>#N/A</v>
      </c>
      <c r="AP101" s="247" t="e">
        <f>IF(AND('1.基本データ(このシートは削除しないこと！)'!$H$17=4,AF101="県内"),W101*AI101,0)</f>
        <v>#N/A</v>
      </c>
      <c r="AQ101" s="296"/>
      <c r="AR101" s="424"/>
      <c r="AS101" s="1"/>
      <c r="AT101" s="198"/>
      <c r="AU101" s="57">
        <f>IF(G101=リスト!Q4,1,IF(G101=リスト!Q5,2,0))</f>
        <v>0</v>
      </c>
      <c r="AV101" s="174">
        <f>AU101</f>
        <v>0</v>
      </c>
    </row>
    <row r="104" spans="1:48" ht="9" customHeight="1" x14ac:dyDescent="0.2"/>
    <row r="105" spans="1:48" ht="9" customHeight="1" x14ac:dyDescent="0.2"/>
    <row r="106" spans="1:48" ht="9" customHeight="1" x14ac:dyDescent="0.2"/>
    <row r="107" spans="1:48" ht="9" customHeight="1" x14ac:dyDescent="0.2"/>
  </sheetData>
  <sheetProtection algorithmName="SHA-512" hashValue="bhwJpeylDcw8KtstShJ2RNUzNlaJH2/lcT3NBFrvCzs2exWOt2veLvVl9cZ9muL/GjwiW6sZvZsz95K3EFxRvA==" saltValue="Sik95o+q4aJa5Fv4jJuVbw==" spinCount="100000" sheet="1" objects="1" scenarios="1"/>
  <mergeCells count="167">
    <mergeCell ref="K79:S79"/>
    <mergeCell ref="K81:Q81"/>
    <mergeCell ref="I81:J81"/>
    <mergeCell ref="S92:S94"/>
    <mergeCell ref="G77:S77"/>
    <mergeCell ref="G80:Q80"/>
    <mergeCell ref="G89:Q89"/>
    <mergeCell ref="G91:Q91"/>
    <mergeCell ref="G90:Q90"/>
    <mergeCell ref="G51:S51"/>
    <mergeCell ref="G57:S57"/>
    <mergeCell ref="G58:Q58"/>
    <mergeCell ref="G59:Q59"/>
    <mergeCell ref="I52:Q52"/>
    <mergeCell ref="I53:Q53"/>
    <mergeCell ref="R53:R54"/>
    <mergeCell ref="P56:R56"/>
    <mergeCell ref="I56:O56"/>
    <mergeCell ref="I54:Q54"/>
    <mergeCell ref="G52:H52"/>
    <mergeCell ref="G53:H53"/>
    <mergeCell ref="G54:H54"/>
    <mergeCell ref="G55:H55"/>
    <mergeCell ref="G56:H56"/>
    <mergeCell ref="S66:S67"/>
    <mergeCell ref="K87:Q87"/>
    <mergeCell ref="B88:S88"/>
    <mergeCell ref="R80:S87"/>
    <mergeCell ref="E80:E87"/>
    <mergeCell ref="E75:R75"/>
    <mergeCell ref="B71:S71"/>
    <mergeCell ref="K85:Q85"/>
    <mergeCell ref="I84:J84"/>
    <mergeCell ref="I85:J85"/>
    <mergeCell ref="I79:J79"/>
    <mergeCell ref="G79:H79"/>
    <mergeCell ref="G78:H78"/>
    <mergeCell ref="G85:H85"/>
    <mergeCell ref="G84:H84"/>
    <mergeCell ref="G83:Q83"/>
    <mergeCell ref="G82:H82"/>
    <mergeCell ref="G81:H81"/>
    <mergeCell ref="G68:H68"/>
    <mergeCell ref="I68:L68"/>
    <mergeCell ref="C66:D68"/>
    <mergeCell ref="B69:S69"/>
    <mergeCell ref="I67:L67"/>
    <mergeCell ref="I78:J78"/>
    <mergeCell ref="AR99:AR101"/>
    <mergeCell ref="AR97:AR98"/>
    <mergeCell ref="AR95:AR96"/>
    <mergeCell ref="AR92:AR94"/>
    <mergeCell ref="N68:Q68"/>
    <mergeCell ref="B72:S72"/>
    <mergeCell ref="B70:S70"/>
    <mergeCell ref="B78:B87"/>
    <mergeCell ref="B89:D89"/>
    <mergeCell ref="C80:D87"/>
    <mergeCell ref="W99:W101"/>
    <mergeCell ref="C90:D90"/>
    <mergeCell ref="C91:D91"/>
    <mergeCell ref="B90:B101"/>
    <mergeCell ref="F97:F98"/>
    <mergeCell ref="F99:F101"/>
    <mergeCell ref="AQ92:AQ94"/>
    <mergeCell ref="I82:J82"/>
    <mergeCell ref="K82:Q82"/>
    <mergeCell ref="K84:Q84"/>
    <mergeCell ref="W97:W98"/>
    <mergeCell ref="C92:C101"/>
    <mergeCell ref="D95:D96"/>
    <mergeCell ref="W92:W94"/>
    <mergeCell ref="E97:E98"/>
    <mergeCell ref="E99:E101"/>
    <mergeCell ref="F95:F96"/>
    <mergeCell ref="E95:E96"/>
    <mergeCell ref="D92:D94"/>
    <mergeCell ref="W95:W96"/>
    <mergeCell ref="F92:F94"/>
    <mergeCell ref="E92:E94"/>
    <mergeCell ref="S99:S101"/>
    <mergeCell ref="D99:D101"/>
    <mergeCell ref="D97:D98"/>
    <mergeCell ref="H101:Q101"/>
    <mergeCell ref="H99:Q99"/>
    <mergeCell ref="G98:Q98"/>
    <mergeCell ref="G97:Q97"/>
    <mergeCell ref="G96:Q96"/>
    <mergeCell ref="G95:Q95"/>
    <mergeCell ref="H94:Q94"/>
    <mergeCell ref="S95:S96"/>
    <mergeCell ref="S97:S98"/>
    <mergeCell ref="G92:G93"/>
    <mergeCell ref="H92:Q92"/>
    <mergeCell ref="H93:Q93"/>
    <mergeCell ref="T47:U47"/>
    <mergeCell ref="B49:D49"/>
    <mergeCell ref="E49:R49"/>
    <mergeCell ref="B51:D51"/>
    <mergeCell ref="F52:F54"/>
    <mergeCell ref="B48:H48"/>
    <mergeCell ref="C52:D54"/>
    <mergeCell ref="E52:E54"/>
    <mergeCell ref="S52:S54"/>
    <mergeCell ref="B52:B68"/>
    <mergeCell ref="R61:S61"/>
    <mergeCell ref="E66:E68"/>
    <mergeCell ref="F66:F68"/>
    <mergeCell ref="E62:E65"/>
    <mergeCell ref="C61:D61"/>
    <mergeCell ref="C62:D65"/>
    <mergeCell ref="O55:P55"/>
    <mergeCell ref="I61:Q61"/>
    <mergeCell ref="I63:L63"/>
    <mergeCell ref="N63:Q63"/>
    <mergeCell ref="C58:D58"/>
    <mergeCell ref="C55:D57"/>
    <mergeCell ref="L55:M55"/>
    <mergeCell ref="F55:F57"/>
    <mergeCell ref="N67:Q67"/>
    <mergeCell ref="I64:L64"/>
    <mergeCell ref="A5:S5"/>
    <mergeCell ref="Q6:S6"/>
    <mergeCell ref="L10:S10"/>
    <mergeCell ref="L11:S12"/>
    <mergeCell ref="G12:K12"/>
    <mergeCell ref="G13:K13"/>
    <mergeCell ref="L13:S13"/>
    <mergeCell ref="G14:K14"/>
    <mergeCell ref="L14:S14"/>
    <mergeCell ref="E55:E57"/>
    <mergeCell ref="C59:D59"/>
    <mergeCell ref="I65:Q65"/>
    <mergeCell ref="L66:M66"/>
    <mergeCell ref="O66:P66"/>
    <mergeCell ref="G61:H61"/>
    <mergeCell ref="G67:H67"/>
    <mergeCell ref="G66:H66"/>
    <mergeCell ref="G65:H65"/>
    <mergeCell ref="G64:H64"/>
    <mergeCell ref="G63:H63"/>
    <mergeCell ref="G62:H62"/>
    <mergeCell ref="R66:R67"/>
    <mergeCell ref="AQ99:AQ101"/>
    <mergeCell ref="G16:K16"/>
    <mergeCell ref="L16:S16"/>
    <mergeCell ref="G17:K17"/>
    <mergeCell ref="L17:S17"/>
    <mergeCell ref="C20:S24"/>
    <mergeCell ref="C60:D60"/>
    <mergeCell ref="G60:Q60"/>
    <mergeCell ref="G99:G100"/>
    <mergeCell ref="H100:Q100"/>
    <mergeCell ref="F80:F87"/>
    <mergeCell ref="C78:D78"/>
    <mergeCell ref="R63:R65"/>
    <mergeCell ref="B77:D77"/>
    <mergeCell ref="S62:S65"/>
    <mergeCell ref="F62:F65"/>
    <mergeCell ref="K78:Q78"/>
    <mergeCell ref="R78:S78"/>
    <mergeCell ref="B73:S73"/>
    <mergeCell ref="B75:D75"/>
    <mergeCell ref="K86:Q86"/>
    <mergeCell ref="N64:Q64"/>
    <mergeCell ref="C79:D79"/>
    <mergeCell ref="I62:Q62"/>
  </mergeCells>
  <phoneticPr fontId="34"/>
  <conditionalFormatting sqref="E97:F97">
    <cfRule type="expression" dxfId="19" priority="89">
      <formula>#REF!=0</formula>
    </cfRule>
  </conditionalFormatting>
  <conditionalFormatting sqref="E90:G90">
    <cfRule type="expression" dxfId="18" priority="41">
      <formula>#REF!=0</formula>
    </cfRule>
  </conditionalFormatting>
  <conditionalFormatting sqref="E92:G92">
    <cfRule type="expression" dxfId="17" priority="4">
      <formula>#REF!=0</formula>
    </cfRule>
  </conditionalFormatting>
  <conditionalFormatting sqref="F97">
    <cfRule type="expression" dxfId="16" priority="90">
      <formula>#REF!&gt;2</formula>
    </cfRule>
  </conditionalFormatting>
  <conditionalFormatting sqref="F99:F101">
    <cfRule type="expression" dxfId="15" priority="161">
      <formula>#REF!=2</formula>
    </cfRule>
  </conditionalFormatting>
  <conditionalFormatting sqref="F92:G92">
    <cfRule type="expression" dxfId="14" priority="5">
      <formula>#REF!&gt;2</formula>
    </cfRule>
  </conditionalFormatting>
  <conditionalFormatting sqref="G94:G99">
    <cfRule type="expression" dxfId="13" priority="6">
      <formula>#REF!=0</formula>
    </cfRule>
    <cfRule type="expression" dxfId="12" priority="7">
      <formula>#REF!&gt;2</formula>
    </cfRule>
  </conditionalFormatting>
  <conditionalFormatting sqref="G99:H99 G101:H101">
    <cfRule type="expression" dxfId="11" priority="12">
      <formula>#REF!=2</formula>
    </cfRule>
  </conditionalFormatting>
  <conditionalFormatting sqref="H92:H94">
    <cfRule type="expression" dxfId="10" priority="14">
      <formula>#REF!=0</formula>
    </cfRule>
    <cfRule type="expression" dxfId="9" priority="15">
      <formula>#REF!&gt;2</formula>
    </cfRule>
  </conditionalFormatting>
  <conditionalFormatting sqref="H100:P100">
    <cfRule type="expression" dxfId="8" priority="1">
      <formula>#REF!=0</formula>
    </cfRule>
    <cfRule type="expression" dxfId="7" priority="2">
      <formula>#REF!=2</formula>
    </cfRule>
    <cfRule type="expression" dxfId="6" priority="3">
      <formula>#REF!&gt;2</formula>
    </cfRule>
  </conditionalFormatting>
  <conditionalFormatting sqref="K82 H99 G101:H101">
    <cfRule type="expression" dxfId="5" priority="102">
      <formula>#REF!&gt;2</formula>
    </cfRule>
  </conditionalFormatting>
  <conditionalFormatting sqref="K82">
    <cfRule type="expression" dxfId="4" priority="101">
      <formula>#REF!=0</formula>
    </cfRule>
  </conditionalFormatting>
  <conditionalFormatting sqref="K85 H99 F101:H101">
    <cfRule type="expression" dxfId="3" priority="95">
      <formula>#REF!=0</formula>
    </cfRule>
  </conditionalFormatting>
  <conditionalFormatting sqref="K85">
    <cfRule type="expression" dxfId="2" priority="96">
      <formula>#REF!&gt;2</formula>
    </cfRule>
  </conditionalFormatting>
  <conditionalFormatting sqref="R90:R101 F91 E95:F95 E99:F100">
    <cfRule type="expression" dxfId="1" priority="148">
      <formula>#REF!=0</formula>
    </cfRule>
  </conditionalFormatting>
  <conditionalFormatting sqref="R90:R101 F95 F99:F101">
    <cfRule type="expression" dxfId="0" priority="166">
      <formula>#REF!&gt;2</formula>
    </cfRule>
  </conditionalFormatting>
  <dataValidations count="6">
    <dataValidation imeMode="disabled" allowBlank="1" showInputMessage="1" showErrorMessage="1" sqref="I63:L64 N63:Q64 I67:L68 N67:Q68" xr:uid="{00000000-0002-0000-0100-000000000000}"/>
    <dataValidation type="textLength" imeMode="disabled" operator="equal" allowBlank="1" showInputMessage="1" showErrorMessage="1" errorTitle="無効な入力" error="4桁で入力してください" prompt="4桁を入力してください" sqref="O66:P66 O55:P55" xr:uid="{00000000-0002-0000-0100-000001000000}">
      <formula1>4</formula1>
    </dataValidation>
    <dataValidation type="textLength" imeMode="disabled" operator="equal" allowBlank="1" showInputMessage="1" showErrorMessage="1" errorTitle="無効な入力" error="5桁で入力してください" prompt="5桁を入力してください" sqref="L66:M66 L55:M55" xr:uid="{00000000-0002-0000-0100-000002000000}">
      <formula1>5</formula1>
    </dataValidation>
    <dataValidation type="textLength" imeMode="halfAlpha" operator="equal" allowBlank="1" showInputMessage="1" showErrorMessage="1" errorTitle="無効な入力" error="２桁で入力してください" prompt="2桁を入力してください" sqref="J66 J55" xr:uid="{00000000-0002-0000-0100-000003000000}">
      <formula1>2</formula1>
    </dataValidation>
    <dataValidation imeMode="disabled" allowBlank="1" showInputMessage="1" showErrorMessage="1" prompt="直近の工事成績が対象　手引き要確認" sqref="I56:O56" xr:uid="{00000000-0002-0000-0100-000004000000}"/>
    <dataValidation allowBlank="1" showInputMessage="1" showErrorMessage="1" prompt="若手・女性技術者の「氏名」を入力" sqref="K78:Q78" xr:uid="{00000000-0002-0000-0100-000005000000}"/>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3" min="1" max="18"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6000000}">
          <x14:formula1>
            <xm:f>リスト!$F$4:$F$7</xm:f>
          </x14:formula1>
          <xm:sqref>S56</xm:sqref>
        </x14:dataValidation>
        <x14:dataValidation type="list" allowBlank="1" showInputMessage="1" showErrorMessage="1" xr:uid="{00000000-0002-0000-0100-000007000000}">
          <x14:formula1>
            <xm:f>リスト!$M$4:$M$5</xm:f>
          </x14:formula1>
          <xm:sqref>S58:S60 R90:R98 R100:R101</xm:sqref>
        </x14:dataValidation>
        <x14:dataValidation type="list" allowBlank="1" showInputMessage="1" showErrorMessage="1" xr:uid="{00000000-0002-0000-0100-000008000000}">
          <x14:formula1>
            <xm:f>リスト2!$C$3:$C$64</xm:f>
          </x14:formula1>
          <xm:sqref>K81 K84 S90:S92 S95 S97 S99:S101</xm:sqref>
        </x14:dataValidation>
        <x14:dataValidation type="list" allowBlank="1" showInputMessage="1" showErrorMessage="1" prompt="同一発注種別の工事成績が対象" xr:uid="{00000000-0002-0000-0100-000009000000}">
          <x14:formula1>
            <xm:f>リスト!$H$4:$H$9</xm:f>
          </x14:formula1>
          <xm:sqref>S55</xm:sqref>
        </x14:dataValidation>
        <x14:dataValidation type="list" allowBlank="1" showInputMessage="1" showErrorMessage="1" xr:uid="{00000000-0002-0000-0100-00000A000000}">
          <x14:formula1>
            <xm:f>リスト!$N$5:$N$7</xm:f>
          </x14:formula1>
          <xm:sqref>K85</xm:sqref>
        </x14:dataValidation>
        <x14:dataValidation type="list" allowBlank="1" showInputMessage="1" showErrorMessage="1" xr:uid="{00000000-0002-0000-0100-00000B000000}">
          <x14:formula1>
            <xm:f>リスト!$N$4:$N$7</xm:f>
          </x14:formula1>
          <xm:sqref>K82</xm:sqref>
        </x14:dataValidation>
        <x14:dataValidation type="list" allowBlank="1" showInputMessage="1" showErrorMessage="1" xr:uid="{00000000-0002-0000-0100-00000C000000}">
          <x14:formula1>
            <xm:f>リスト!$K$9:$K$12</xm:f>
          </x14:formula1>
          <xm:sqref>K79</xm:sqref>
        </x14:dataValidation>
        <x14:dataValidation type="list" allowBlank="1" showInputMessage="1" showErrorMessage="1" xr:uid="{00000000-0002-0000-0100-00000D000000}">
          <x14:formula1>
            <xm:f>リスト!$E$4:$E$6</xm:f>
          </x14:formula1>
          <xm:sqref>I53:Q53</xm:sqref>
        </x14:dataValidation>
        <x14:dataValidation type="list" allowBlank="1" showInputMessage="1" showErrorMessage="1" prompt="選択" xr:uid="{00000000-0002-0000-0100-00000E000000}">
          <x14:formula1>
            <xm:f>リスト!$O$4:$O$6</xm:f>
          </x14:formula1>
          <xm:sqref>R78:S78</xm:sqref>
        </x14:dataValidation>
        <x14:dataValidation type="list" allowBlank="1" showInputMessage="1" showErrorMessage="1" xr:uid="{00000000-0002-0000-0100-00000F000000}">
          <x14:formula1>
            <xm:f>リスト!$Q$4:$Q$6</xm:f>
          </x14:formula1>
          <xm:sqref>G94 G101</xm:sqref>
        </x14:dataValidation>
        <x14:dataValidation type="list" allowBlank="1" showInputMessage="1" showErrorMessage="1" prompt="一般土木工事及び舗装工事の場合" xr:uid="{00000000-0002-0000-0100-000010000000}">
          <x14:formula1>
            <xm:f>リスト!$M$4:$M$5</xm:f>
          </x14:formula1>
          <xm:sqref>R99</xm:sqref>
        </x14:dataValidation>
        <x14:dataValidation type="list" allowBlank="1" showInputMessage="1" showErrorMessage="1" xr:uid="{02249005-BAC0-4DFF-9A59-E9F8B98E40A0}">
          <x14:formula1>
            <xm:f>リスト!$G$4:$G$6</xm:f>
          </x14:formula1>
          <xm:sqref>S68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22"/>
  <sheetViews>
    <sheetView workbookViewId="0">
      <selection activeCell="G29" sqref="G29"/>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42</v>
      </c>
      <c r="B3" s="2" t="s">
        <v>36</v>
      </c>
      <c r="E3" s="2" t="s">
        <v>17</v>
      </c>
      <c r="F3" s="2" t="s">
        <v>137</v>
      </c>
      <c r="G3" s="2" t="s">
        <v>141</v>
      </c>
      <c r="H3" s="2" t="s">
        <v>124</v>
      </c>
      <c r="I3" s="2" t="s">
        <v>18</v>
      </c>
      <c r="K3" s="3" t="s">
        <v>19</v>
      </c>
      <c r="L3" s="2" t="s">
        <v>20</v>
      </c>
      <c r="M3" s="2" t="s">
        <v>21</v>
      </c>
      <c r="N3" s="2" t="s">
        <v>231</v>
      </c>
      <c r="O3" s="2" t="s">
        <v>257</v>
      </c>
      <c r="Q3" s="2" t="s">
        <v>350</v>
      </c>
    </row>
    <row r="4" spans="1:17" x14ac:dyDescent="0.2">
      <c r="A4" s="2" t="s">
        <v>41</v>
      </c>
      <c r="B4" s="2" t="s">
        <v>37</v>
      </c>
      <c r="E4" s="2" t="s">
        <v>22</v>
      </c>
      <c r="F4" s="2" t="s">
        <v>308</v>
      </c>
      <c r="G4" s="2" t="s">
        <v>308</v>
      </c>
      <c r="H4" s="2" t="s">
        <v>33</v>
      </c>
      <c r="I4" s="2" t="s">
        <v>174</v>
      </c>
      <c r="K4" s="2" t="s">
        <v>201</v>
      </c>
      <c r="L4" s="2" t="s">
        <v>25</v>
      </c>
      <c r="M4" s="2" t="s">
        <v>26</v>
      </c>
      <c r="N4" s="2" t="s">
        <v>232</v>
      </c>
      <c r="O4" s="2" t="s">
        <v>346</v>
      </c>
      <c r="Q4" s="2" t="s">
        <v>351</v>
      </c>
    </row>
    <row r="5" spans="1:17" x14ac:dyDescent="0.2">
      <c r="A5" s="2" t="s">
        <v>40</v>
      </c>
      <c r="B5" s="2" t="s">
        <v>38</v>
      </c>
      <c r="E5" s="2" t="s">
        <v>28</v>
      </c>
      <c r="F5" s="2" t="s">
        <v>309</v>
      </c>
      <c r="G5" s="2" t="s">
        <v>309</v>
      </c>
      <c r="H5" s="2" t="s">
        <v>125</v>
      </c>
      <c r="I5" s="2" t="s">
        <v>5</v>
      </c>
      <c r="K5" s="2" t="s">
        <v>33</v>
      </c>
      <c r="L5" s="2" t="s">
        <v>30</v>
      </c>
      <c r="M5" s="2" t="s">
        <v>33</v>
      </c>
      <c r="N5" s="2" t="s">
        <v>27</v>
      </c>
      <c r="O5" s="2" t="s">
        <v>347</v>
      </c>
      <c r="Q5" s="2" t="s">
        <v>352</v>
      </c>
    </row>
    <row r="6" spans="1:17" x14ac:dyDescent="0.2">
      <c r="A6" s="2" t="s">
        <v>307</v>
      </c>
      <c r="B6" s="2" t="s">
        <v>6</v>
      </c>
      <c r="E6" s="2" t="s">
        <v>31</v>
      </c>
      <c r="F6" s="2" t="s">
        <v>138</v>
      </c>
      <c r="G6" s="2" t="s">
        <v>33</v>
      </c>
      <c r="H6" s="2" t="s">
        <v>126</v>
      </c>
      <c r="I6" s="2" t="s">
        <v>33</v>
      </c>
      <c r="L6" s="2" t="s">
        <v>33</v>
      </c>
      <c r="N6" s="2" t="s">
        <v>5</v>
      </c>
      <c r="O6" s="2" t="s">
        <v>33</v>
      </c>
      <c r="Q6" s="2" t="s">
        <v>353</v>
      </c>
    </row>
    <row r="7" spans="1:17" x14ac:dyDescent="0.2">
      <c r="B7" s="2" t="s">
        <v>39</v>
      </c>
      <c r="E7" s="2" t="s">
        <v>33</v>
      </c>
      <c r="F7" s="2" t="s">
        <v>310</v>
      </c>
      <c r="H7" s="2" t="s">
        <v>178</v>
      </c>
      <c r="N7" s="2" t="s">
        <v>33</v>
      </c>
    </row>
    <row r="8" spans="1:17" x14ac:dyDescent="0.2">
      <c r="H8" s="2" t="s">
        <v>179</v>
      </c>
    </row>
    <row r="9" spans="1:17" x14ac:dyDescent="0.2">
      <c r="H9" s="2" t="s">
        <v>180</v>
      </c>
      <c r="K9" s="2" t="s">
        <v>202</v>
      </c>
    </row>
    <row r="10" spans="1:17" x14ac:dyDescent="0.2">
      <c r="H10" s="2" t="s">
        <v>181</v>
      </c>
      <c r="K10" s="2" t="s">
        <v>203</v>
      </c>
    </row>
    <row r="11" spans="1:17" x14ac:dyDescent="0.2">
      <c r="H11" s="2" t="s">
        <v>182</v>
      </c>
      <c r="K11" s="2" t="s">
        <v>205</v>
      </c>
    </row>
    <row r="12" spans="1:17" x14ac:dyDescent="0.2">
      <c r="H12" s="2" t="s">
        <v>183</v>
      </c>
      <c r="K12" s="2" t="s">
        <v>204</v>
      </c>
    </row>
    <row r="13" spans="1:17" x14ac:dyDescent="0.2">
      <c r="H13" s="2" t="s">
        <v>184</v>
      </c>
    </row>
    <row r="14" spans="1:17" x14ac:dyDescent="0.2">
      <c r="H14" s="2" t="s">
        <v>185</v>
      </c>
    </row>
    <row r="15" spans="1:17" x14ac:dyDescent="0.2">
      <c r="H15" s="2" t="s">
        <v>186</v>
      </c>
    </row>
    <row r="16" spans="1:17" x14ac:dyDescent="0.2">
      <c r="H16" s="2" t="s">
        <v>187</v>
      </c>
    </row>
    <row r="17" spans="8:8" x14ac:dyDescent="0.2">
      <c r="H17" s="2" t="s">
        <v>188</v>
      </c>
    </row>
    <row r="18" spans="8:8" x14ac:dyDescent="0.2">
      <c r="H18" s="2" t="s">
        <v>189</v>
      </c>
    </row>
    <row r="19" spans="8:8" x14ac:dyDescent="0.2">
      <c r="H19" s="2" t="s">
        <v>190</v>
      </c>
    </row>
    <row r="20" spans="8:8" x14ac:dyDescent="0.2">
      <c r="H20" s="2" t="s">
        <v>191</v>
      </c>
    </row>
    <row r="21" spans="8:8" x14ac:dyDescent="0.2">
      <c r="H21" s="2" t="s">
        <v>192</v>
      </c>
    </row>
    <row r="22" spans="8:8" x14ac:dyDescent="0.2">
      <c r="H22" s="2" t="s">
        <v>193</v>
      </c>
    </row>
  </sheetData>
  <sheetProtection algorithmName="SHA-512" hashValue="vyiHh2ElBWTxj/Pyzq22AOA17tBJX5QVnSB3nJYea9wanY0MOqnRCyM0M/JYmQS1v02DuDLVAQCcVN7HSopRTw==" saltValue="Ow57MlS8DhXxqkqSqvOF1A==" spinCount="100000" sheet="1" objects="1" scenarios="1"/>
  <phoneticPr fontId="3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5"/>
  <sheetViews>
    <sheetView view="pageBreakPreview" zoomScaleNormal="100" zoomScaleSheetLayoutView="100" workbookViewId="0">
      <selection activeCell="C8" sqref="C8"/>
    </sheetView>
  </sheetViews>
  <sheetFormatPr defaultRowHeight="13.2" x14ac:dyDescent="0.2"/>
  <cols>
    <col min="3" max="3" width="29.21875" customWidth="1"/>
    <col min="4" max="4" width="21" customWidth="1"/>
    <col min="5" max="5" width="23.109375" customWidth="1"/>
  </cols>
  <sheetData>
    <row r="2" spans="2:9" ht="39" customHeight="1" x14ac:dyDescent="0.2">
      <c r="B2" s="4" t="s">
        <v>146</v>
      </c>
      <c r="C2" s="4" t="s">
        <v>121</v>
      </c>
      <c r="D2" s="5" t="s">
        <v>145</v>
      </c>
      <c r="E2" s="4" t="s">
        <v>122</v>
      </c>
      <c r="F2" s="124" t="s">
        <v>291</v>
      </c>
      <c r="G2" s="4" t="s">
        <v>36</v>
      </c>
      <c r="H2" s="1" t="s">
        <v>197</v>
      </c>
      <c r="I2" s="1"/>
    </row>
    <row r="3" spans="2:9" x14ac:dyDescent="0.2">
      <c r="B3" s="6">
        <v>1</v>
      </c>
      <c r="C3" s="6" t="s">
        <v>64</v>
      </c>
      <c r="D3" s="6" t="s">
        <v>43</v>
      </c>
      <c r="E3" s="6" t="s">
        <v>59</v>
      </c>
      <c r="F3" s="1" t="s">
        <v>6</v>
      </c>
      <c r="G3" s="6" t="s">
        <v>37</v>
      </c>
      <c r="H3" s="1" t="s">
        <v>149</v>
      </c>
      <c r="I3" s="1">
        <v>2</v>
      </c>
    </row>
    <row r="4" spans="2:9" x14ac:dyDescent="0.2">
      <c r="B4" s="6">
        <v>2</v>
      </c>
      <c r="C4" s="6" t="s">
        <v>65</v>
      </c>
      <c r="D4" s="6" t="s">
        <v>43</v>
      </c>
      <c r="E4" s="6" t="s">
        <v>59</v>
      </c>
      <c r="F4" s="1" t="s">
        <v>6</v>
      </c>
      <c r="G4" s="6" t="s">
        <v>38</v>
      </c>
      <c r="H4" s="1" t="s">
        <v>150</v>
      </c>
      <c r="I4" s="1">
        <v>3</v>
      </c>
    </row>
    <row r="5" spans="2:9" x14ac:dyDescent="0.2">
      <c r="B5" s="6">
        <v>3</v>
      </c>
      <c r="C5" s="6" t="s">
        <v>66</v>
      </c>
      <c r="D5" s="6" t="s">
        <v>44</v>
      </c>
      <c r="E5" s="6" t="s">
        <v>59</v>
      </c>
      <c r="F5" s="1" t="s">
        <v>6</v>
      </c>
      <c r="G5" s="6" t="s">
        <v>6</v>
      </c>
      <c r="H5" s="1" t="s">
        <v>150</v>
      </c>
      <c r="I5" s="1">
        <v>3</v>
      </c>
    </row>
    <row r="6" spans="2:9" x14ac:dyDescent="0.2">
      <c r="B6" s="6">
        <v>4</v>
      </c>
      <c r="C6" s="6" t="s">
        <v>67</v>
      </c>
      <c r="D6" s="6" t="s">
        <v>44</v>
      </c>
      <c r="E6" s="6" t="s">
        <v>59</v>
      </c>
      <c r="F6" s="1" t="s">
        <v>6</v>
      </c>
      <c r="G6" s="6" t="s">
        <v>39</v>
      </c>
      <c r="H6" s="1" t="s">
        <v>6</v>
      </c>
      <c r="I6" s="1">
        <v>4</v>
      </c>
    </row>
    <row r="7" spans="2:9" x14ac:dyDescent="0.2">
      <c r="B7" s="6">
        <v>5</v>
      </c>
      <c r="C7" s="6" t="s">
        <v>68</v>
      </c>
      <c r="D7" s="6" t="s">
        <v>44</v>
      </c>
      <c r="E7" s="6" t="s">
        <v>59</v>
      </c>
      <c r="F7" s="1" t="s">
        <v>6</v>
      </c>
      <c r="G7" s="6" t="s">
        <v>33</v>
      </c>
      <c r="H7" s="1"/>
      <c r="I7" s="1"/>
    </row>
    <row r="8" spans="2:9" x14ac:dyDescent="0.2">
      <c r="B8" s="6">
        <v>6</v>
      </c>
      <c r="C8" s="6" t="s">
        <v>69</v>
      </c>
      <c r="D8" s="6" t="s">
        <v>45</v>
      </c>
      <c r="E8" s="6" t="s">
        <v>59</v>
      </c>
      <c r="F8" s="1" t="s">
        <v>6</v>
      </c>
    </row>
    <row r="9" spans="2:9" x14ac:dyDescent="0.2">
      <c r="B9" s="6">
        <v>7</v>
      </c>
      <c r="C9" s="6" t="s">
        <v>70</v>
      </c>
      <c r="D9" s="6" t="s">
        <v>45</v>
      </c>
      <c r="E9" s="6" t="s">
        <v>59</v>
      </c>
      <c r="F9" s="1" t="s">
        <v>6</v>
      </c>
    </row>
    <row r="10" spans="2:9" x14ac:dyDescent="0.2">
      <c r="B10" s="6">
        <v>8</v>
      </c>
      <c r="C10" s="6" t="s">
        <v>71</v>
      </c>
      <c r="D10" s="6" t="s">
        <v>45</v>
      </c>
      <c r="E10" s="6" t="s">
        <v>59</v>
      </c>
      <c r="F10" s="1" t="s">
        <v>6</v>
      </c>
    </row>
    <row r="11" spans="2:9" x14ac:dyDescent="0.2">
      <c r="B11" s="6">
        <v>9</v>
      </c>
      <c r="C11" s="6" t="s">
        <v>72</v>
      </c>
      <c r="D11" s="6" t="s">
        <v>51</v>
      </c>
      <c r="E11" s="6" t="s">
        <v>46</v>
      </c>
      <c r="F11" s="1" t="s">
        <v>6</v>
      </c>
    </row>
    <row r="12" spans="2:9" x14ac:dyDescent="0.2">
      <c r="B12" s="6">
        <v>10</v>
      </c>
      <c r="C12" s="6" t="s">
        <v>73</v>
      </c>
      <c r="D12" s="6" t="s">
        <v>47</v>
      </c>
      <c r="E12" s="6" t="s">
        <v>46</v>
      </c>
      <c r="F12" s="1" t="s">
        <v>6</v>
      </c>
    </row>
    <row r="13" spans="2:9" x14ac:dyDescent="0.2">
      <c r="B13" s="6">
        <v>11</v>
      </c>
      <c r="C13" s="6" t="s">
        <v>74</v>
      </c>
      <c r="D13" s="6" t="s">
        <v>47</v>
      </c>
      <c r="E13" s="6" t="s">
        <v>46</v>
      </c>
      <c r="F13" s="1" t="s">
        <v>6</v>
      </c>
    </row>
    <row r="14" spans="2:9" x14ac:dyDescent="0.2">
      <c r="B14" s="6">
        <v>12</v>
      </c>
      <c r="C14" s="6" t="s">
        <v>75</v>
      </c>
      <c r="D14" s="6" t="s">
        <v>47</v>
      </c>
      <c r="E14" s="6" t="s">
        <v>46</v>
      </c>
      <c r="F14" s="1" t="s">
        <v>6</v>
      </c>
    </row>
    <row r="15" spans="2:9" x14ac:dyDescent="0.2">
      <c r="B15" s="6">
        <v>13</v>
      </c>
      <c r="C15" s="6" t="s">
        <v>76</v>
      </c>
      <c r="D15" s="6" t="s">
        <v>48</v>
      </c>
      <c r="E15" s="6" t="s">
        <v>46</v>
      </c>
      <c r="F15" s="1" t="s">
        <v>6</v>
      </c>
    </row>
    <row r="16" spans="2:9" x14ac:dyDescent="0.2">
      <c r="B16" s="6">
        <v>14</v>
      </c>
      <c r="C16" s="6" t="s">
        <v>77</v>
      </c>
      <c r="D16" s="6" t="s">
        <v>48</v>
      </c>
      <c r="E16" s="6" t="s">
        <v>46</v>
      </c>
      <c r="F16" s="1" t="s">
        <v>6</v>
      </c>
    </row>
    <row r="17" spans="2:6" x14ac:dyDescent="0.2">
      <c r="B17" s="6">
        <v>15</v>
      </c>
      <c r="C17" s="6" t="s">
        <v>78</v>
      </c>
      <c r="D17" s="6" t="s">
        <v>48</v>
      </c>
      <c r="E17" s="6" t="s">
        <v>46</v>
      </c>
      <c r="F17" s="1" t="s">
        <v>6</v>
      </c>
    </row>
    <row r="18" spans="2:6" x14ac:dyDescent="0.2">
      <c r="B18" s="6">
        <v>16</v>
      </c>
      <c r="C18" s="6" t="s">
        <v>79</v>
      </c>
      <c r="D18" s="6" t="s">
        <v>49</v>
      </c>
      <c r="E18" s="6" t="s">
        <v>46</v>
      </c>
      <c r="F18" s="1" t="s">
        <v>6</v>
      </c>
    </row>
    <row r="19" spans="2:6" x14ac:dyDescent="0.2">
      <c r="B19" s="6">
        <v>17</v>
      </c>
      <c r="C19" s="6" t="s">
        <v>80</v>
      </c>
      <c r="D19" s="6" t="s">
        <v>49</v>
      </c>
      <c r="E19" s="6" t="s">
        <v>46</v>
      </c>
      <c r="F19" s="1" t="s">
        <v>6</v>
      </c>
    </row>
    <row r="20" spans="2:6" x14ac:dyDescent="0.2">
      <c r="B20" s="6">
        <v>18</v>
      </c>
      <c r="C20" s="6" t="s">
        <v>81</v>
      </c>
      <c r="D20" s="6" t="s">
        <v>49</v>
      </c>
      <c r="E20" s="6" t="s">
        <v>46</v>
      </c>
      <c r="F20" s="1" t="s">
        <v>6</v>
      </c>
    </row>
    <row r="21" spans="2:6" x14ac:dyDescent="0.2">
      <c r="B21" s="6">
        <v>19</v>
      </c>
      <c r="C21" s="6" t="s">
        <v>82</v>
      </c>
      <c r="D21" s="6" t="s">
        <v>49</v>
      </c>
      <c r="E21" s="6" t="s">
        <v>46</v>
      </c>
      <c r="F21" s="1" t="s">
        <v>6</v>
      </c>
    </row>
    <row r="22" spans="2:6" x14ac:dyDescent="0.2">
      <c r="B22" s="6">
        <v>20</v>
      </c>
      <c r="C22" s="6" t="s">
        <v>83</v>
      </c>
      <c r="D22" s="6" t="s">
        <v>49</v>
      </c>
      <c r="E22" s="6" t="s">
        <v>46</v>
      </c>
      <c r="F22" s="1" t="s">
        <v>6</v>
      </c>
    </row>
    <row r="23" spans="2:6" x14ac:dyDescent="0.2">
      <c r="B23" s="6">
        <v>21</v>
      </c>
      <c r="C23" s="6" t="s">
        <v>84</v>
      </c>
      <c r="D23" s="6" t="s">
        <v>50</v>
      </c>
      <c r="E23" s="6" t="s">
        <v>60</v>
      </c>
      <c r="F23" s="1" t="s">
        <v>6</v>
      </c>
    </row>
    <row r="24" spans="2:6" x14ac:dyDescent="0.2">
      <c r="B24" s="6">
        <v>22</v>
      </c>
      <c r="C24" s="6" t="s">
        <v>85</v>
      </c>
      <c r="D24" s="6" t="s">
        <v>50</v>
      </c>
      <c r="E24" s="6" t="s">
        <v>60</v>
      </c>
      <c r="F24" s="1" t="s">
        <v>6</v>
      </c>
    </row>
    <row r="25" spans="2:6" x14ac:dyDescent="0.2">
      <c r="B25" s="6">
        <v>23</v>
      </c>
      <c r="C25" s="6" t="s">
        <v>86</v>
      </c>
      <c r="D25" s="6" t="s">
        <v>50</v>
      </c>
      <c r="E25" s="6" t="s">
        <v>60</v>
      </c>
      <c r="F25" s="1" t="s">
        <v>6</v>
      </c>
    </row>
    <row r="26" spans="2:6" x14ac:dyDescent="0.2">
      <c r="B26" s="6">
        <v>24</v>
      </c>
      <c r="C26" s="6" t="s">
        <v>87</v>
      </c>
      <c r="D26" s="6" t="s">
        <v>50</v>
      </c>
      <c r="E26" s="6" t="s">
        <v>60</v>
      </c>
      <c r="F26" s="1" t="s">
        <v>6</v>
      </c>
    </row>
    <row r="27" spans="2:6" x14ac:dyDescent="0.2">
      <c r="B27" s="6">
        <v>25</v>
      </c>
      <c r="C27" s="6" t="s">
        <v>88</v>
      </c>
      <c r="D27" s="6" t="s">
        <v>50</v>
      </c>
      <c r="E27" s="6" t="s">
        <v>60</v>
      </c>
      <c r="F27" s="1" t="s">
        <v>6</v>
      </c>
    </row>
    <row r="28" spans="2:6" x14ac:dyDescent="0.2">
      <c r="B28" s="6">
        <v>26</v>
      </c>
      <c r="C28" s="6" t="s">
        <v>89</v>
      </c>
      <c r="D28" s="6" t="s">
        <v>52</v>
      </c>
      <c r="E28" s="6" t="s">
        <v>60</v>
      </c>
      <c r="F28" s="1" t="s">
        <v>6</v>
      </c>
    </row>
    <row r="29" spans="2:6" x14ac:dyDescent="0.2">
      <c r="B29" s="6">
        <v>27</v>
      </c>
      <c r="C29" s="6" t="s">
        <v>90</v>
      </c>
      <c r="D29" s="6" t="s">
        <v>52</v>
      </c>
      <c r="E29" s="6" t="s">
        <v>60</v>
      </c>
      <c r="F29" s="1" t="s">
        <v>6</v>
      </c>
    </row>
    <row r="30" spans="2:6" x14ac:dyDescent="0.2">
      <c r="B30" s="6">
        <v>28</v>
      </c>
      <c r="C30" s="6" t="s">
        <v>91</v>
      </c>
      <c r="D30" s="6" t="s">
        <v>52</v>
      </c>
      <c r="E30" s="6" t="s">
        <v>60</v>
      </c>
      <c r="F30" s="1" t="s">
        <v>6</v>
      </c>
    </row>
    <row r="31" spans="2:6" x14ac:dyDescent="0.2">
      <c r="B31" s="6">
        <v>29</v>
      </c>
      <c r="C31" s="6" t="s">
        <v>92</v>
      </c>
      <c r="D31" s="6" t="s">
        <v>52</v>
      </c>
      <c r="E31" s="6" t="s">
        <v>60</v>
      </c>
      <c r="F31" s="1" t="s">
        <v>6</v>
      </c>
    </row>
    <row r="32" spans="2:6" x14ac:dyDescent="0.2">
      <c r="B32" s="6">
        <v>30</v>
      </c>
      <c r="C32" s="6" t="s">
        <v>93</v>
      </c>
      <c r="D32" s="6" t="s">
        <v>53</v>
      </c>
      <c r="E32" s="6" t="s">
        <v>61</v>
      </c>
      <c r="F32" s="1" t="s">
        <v>6</v>
      </c>
    </row>
    <row r="33" spans="2:6" x14ac:dyDescent="0.2">
      <c r="B33" s="6">
        <v>31</v>
      </c>
      <c r="C33" s="6" t="s">
        <v>94</v>
      </c>
      <c r="D33" s="6" t="s">
        <v>53</v>
      </c>
      <c r="E33" s="6" t="s">
        <v>61</v>
      </c>
      <c r="F33" s="1" t="s">
        <v>6</v>
      </c>
    </row>
    <row r="34" spans="2:6" x14ac:dyDescent="0.2">
      <c r="B34" s="6">
        <v>32</v>
      </c>
      <c r="C34" s="6" t="s">
        <v>95</v>
      </c>
      <c r="D34" s="6" t="s">
        <v>53</v>
      </c>
      <c r="E34" s="6" t="s">
        <v>61</v>
      </c>
      <c r="F34" s="1" t="s">
        <v>6</v>
      </c>
    </row>
    <row r="35" spans="2:6" x14ac:dyDescent="0.2">
      <c r="B35" s="6">
        <v>33</v>
      </c>
      <c r="C35" s="6" t="s">
        <v>96</v>
      </c>
      <c r="D35" s="6" t="s">
        <v>53</v>
      </c>
      <c r="E35" s="6" t="s">
        <v>61</v>
      </c>
      <c r="F35" s="1" t="s">
        <v>6</v>
      </c>
    </row>
    <row r="36" spans="2:6" x14ac:dyDescent="0.2">
      <c r="B36" s="6">
        <v>34</v>
      </c>
      <c r="C36" s="6" t="s">
        <v>97</v>
      </c>
      <c r="D36" s="6" t="s">
        <v>54</v>
      </c>
      <c r="E36" s="6" t="s">
        <v>61</v>
      </c>
      <c r="F36" s="1" t="s">
        <v>6</v>
      </c>
    </row>
    <row r="37" spans="2:6" x14ac:dyDescent="0.2">
      <c r="B37" s="6">
        <v>35</v>
      </c>
      <c r="C37" s="6" t="s">
        <v>98</v>
      </c>
      <c r="D37" s="6" t="s">
        <v>54</v>
      </c>
      <c r="E37" s="6" t="s">
        <v>61</v>
      </c>
      <c r="F37" s="1" t="s">
        <v>6</v>
      </c>
    </row>
    <row r="38" spans="2:6" x14ac:dyDescent="0.2">
      <c r="B38" s="6">
        <v>36</v>
      </c>
      <c r="C38" s="6" t="s">
        <v>99</v>
      </c>
      <c r="D38" s="6" t="s">
        <v>54</v>
      </c>
      <c r="E38" s="6" t="s">
        <v>61</v>
      </c>
      <c r="F38" s="1" t="s">
        <v>6</v>
      </c>
    </row>
    <row r="39" spans="2:6" x14ac:dyDescent="0.2">
      <c r="B39" s="6">
        <v>37</v>
      </c>
      <c r="C39" s="6" t="s">
        <v>100</v>
      </c>
      <c r="D39" s="6" t="s">
        <v>54</v>
      </c>
      <c r="E39" s="6" t="s">
        <v>61</v>
      </c>
      <c r="F39" s="1" t="s">
        <v>6</v>
      </c>
    </row>
    <row r="40" spans="2:6" x14ac:dyDescent="0.2">
      <c r="B40" s="6">
        <v>38</v>
      </c>
      <c r="C40" s="6" t="s">
        <v>23</v>
      </c>
      <c r="D40" s="6" t="s">
        <v>24</v>
      </c>
      <c r="E40" s="6" t="s">
        <v>25</v>
      </c>
      <c r="F40" s="1" t="s">
        <v>6</v>
      </c>
    </row>
    <row r="41" spans="2:6" x14ac:dyDescent="0.2">
      <c r="B41" s="6">
        <v>39</v>
      </c>
      <c r="C41" s="6" t="s">
        <v>105</v>
      </c>
      <c r="D41" s="6" t="s">
        <v>24</v>
      </c>
      <c r="E41" s="6" t="s">
        <v>25</v>
      </c>
      <c r="F41" s="1" t="s">
        <v>6</v>
      </c>
    </row>
    <row r="42" spans="2:6" x14ac:dyDescent="0.2">
      <c r="B42" s="6">
        <v>40</v>
      </c>
      <c r="C42" s="6" t="s">
        <v>32</v>
      </c>
      <c r="D42" s="6" t="s">
        <v>24</v>
      </c>
      <c r="E42" s="6" t="s">
        <v>25</v>
      </c>
      <c r="F42" s="1" t="s">
        <v>6</v>
      </c>
    </row>
    <row r="43" spans="2:6" x14ac:dyDescent="0.2">
      <c r="B43" s="6">
        <v>41</v>
      </c>
      <c r="C43" s="6" t="s">
        <v>34</v>
      </c>
      <c r="D43" s="6" t="s">
        <v>29</v>
      </c>
      <c r="E43" s="6" t="s">
        <v>25</v>
      </c>
      <c r="F43" s="1" t="s">
        <v>6</v>
      </c>
    </row>
    <row r="44" spans="2:6" x14ac:dyDescent="0.2">
      <c r="B44" s="6">
        <v>42</v>
      </c>
      <c r="C44" s="6" t="s">
        <v>35</v>
      </c>
      <c r="D44" s="6" t="s">
        <v>29</v>
      </c>
      <c r="E44" s="6" t="s">
        <v>25</v>
      </c>
      <c r="F44" s="1" t="s">
        <v>6</v>
      </c>
    </row>
    <row r="45" spans="2:6" x14ac:dyDescent="0.2">
      <c r="B45" s="6">
        <v>43</v>
      </c>
      <c r="C45" s="6" t="s">
        <v>106</v>
      </c>
      <c r="D45" s="6" t="s">
        <v>29</v>
      </c>
      <c r="E45" s="6" t="s">
        <v>25</v>
      </c>
      <c r="F45" s="1" t="s">
        <v>6</v>
      </c>
    </row>
    <row r="46" spans="2:6" x14ac:dyDescent="0.2">
      <c r="B46" s="6">
        <v>44</v>
      </c>
      <c r="C46" s="6" t="s">
        <v>101</v>
      </c>
      <c r="D46" s="6" t="s">
        <v>55</v>
      </c>
      <c r="E46" s="6" t="s">
        <v>30</v>
      </c>
      <c r="F46" s="1" t="s">
        <v>6</v>
      </c>
    </row>
    <row r="47" spans="2:6" x14ac:dyDescent="0.2">
      <c r="B47" s="6">
        <v>45</v>
      </c>
      <c r="C47" s="6" t="s">
        <v>103</v>
      </c>
      <c r="D47" s="6" t="s">
        <v>55</v>
      </c>
      <c r="E47" s="6" t="s">
        <v>30</v>
      </c>
      <c r="F47" s="1" t="s">
        <v>6</v>
      </c>
    </row>
    <row r="48" spans="2:6" x14ac:dyDescent="0.2">
      <c r="B48" s="6">
        <v>46</v>
      </c>
      <c r="C48" s="6" t="s">
        <v>104</v>
      </c>
      <c r="D48" s="6" t="s">
        <v>56</v>
      </c>
      <c r="E48" s="6" t="s">
        <v>30</v>
      </c>
      <c r="F48" s="1" t="s">
        <v>6</v>
      </c>
    </row>
    <row r="49" spans="2:6" x14ac:dyDescent="0.2">
      <c r="B49" s="6">
        <v>47</v>
      </c>
      <c r="C49" s="6" t="s">
        <v>102</v>
      </c>
      <c r="D49" s="6" t="s">
        <v>56</v>
      </c>
      <c r="E49" s="6" t="s">
        <v>30</v>
      </c>
      <c r="F49" s="1" t="s">
        <v>6</v>
      </c>
    </row>
    <row r="50" spans="2:6" x14ac:dyDescent="0.2">
      <c r="B50" s="6">
        <v>48</v>
      </c>
      <c r="C50" s="6" t="s">
        <v>107</v>
      </c>
      <c r="D50" s="6" t="s">
        <v>56</v>
      </c>
      <c r="E50" s="6" t="s">
        <v>30</v>
      </c>
      <c r="F50" s="1" t="s">
        <v>6</v>
      </c>
    </row>
    <row r="51" spans="2:6" x14ac:dyDescent="0.2">
      <c r="B51" s="6">
        <v>49</v>
      </c>
      <c r="C51" s="6" t="s">
        <v>108</v>
      </c>
      <c r="D51" s="6" t="s">
        <v>57</v>
      </c>
      <c r="E51" s="6" t="s">
        <v>62</v>
      </c>
      <c r="F51" s="1" t="s">
        <v>6</v>
      </c>
    </row>
    <row r="52" spans="2:6" x14ac:dyDescent="0.2">
      <c r="B52" s="6">
        <v>50</v>
      </c>
      <c r="C52" s="6" t="s">
        <v>109</v>
      </c>
      <c r="D52" s="6" t="s">
        <v>57</v>
      </c>
      <c r="E52" s="6" t="s">
        <v>62</v>
      </c>
      <c r="F52" s="1" t="s">
        <v>6</v>
      </c>
    </row>
    <row r="53" spans="2:6" x14ac:dyDescent="0.2">
      <c r="B53" s="6">
        <v>51</v>
      </c>
      <c r="C53" s="6" t="s">
        <v>110</v>
      </c>
      <c r="D53" s="6" t="s">
        <v>57</v>
      </c>
      <c r="E53" s="6" t="s">
        <v>62</v>
      </c>
      <c r="F53" s="1" t="s">
        <v>6</v>
      </c>
    </row>
    <row r="54" spans="2:6" x14ac:dyDescent="0.2">
      <c r="B54" s="6">
        <v>52</v>
      </c>
      <c r="C54" s="6" t="s">
        <v>111</v>
      </c>
      <c r="D54" s="6" t="s">
        <v>57</v>
      </c>
      <c r="E54" s="6" t="s">
        <v>62</v>
      </c>
      <c r="F54" s="1" t="s">
        <v>6</v>
      </c>
    </row>
    <row r="55" spans="2:6" x14ac:dyDescent="0.2">
      <c r="B55" s="6">
        <v>53</v>
      </c>
      <c r="C55" s="6" t="s">
        <v>112</v>
      </c>
      <c r="D55" s="6" t="s">
        <v>58</v>
      </c>
      <c r="E55" s="6" t="s">
        <v>62</v>
      </c>
      <c r="F55" s="1" t="s">
        <v>6</v>
      </c>
    </row>
    <row r="56" spans="2:6" x14ac:dyDescent="0.2">
      <c r="B56" s="6">
        <v>54</v>
      </c>
      <c r="C56" s="6" t="s">
        <v>113</v>
      </c>
      <c r="D56" s="6" t="s">
        <v>58</v>
      </c>
      <c r="E56" s="6" t="s">
        <v>62</v>
      </c>
      <c r="F56" s="1" t="s">
        <v>6</v>
      </c>
    </row>
    <row r="57" spans="2:6" x14ac:dyDescent="0.2">
      <c r="B57" s="6">
        <v>55</v>
      </c>
      <c r="C57" s="6" t="s">
        <v>114</v>
      </c>
      <c r="D57" s="6" t="s">
        <v>58</v>
      </c>
      <c r="E57" s="6" t="s">
        <v>62</v>
      </c>
      <c r="F57" s="1" t="s">
        <v>6</v>
      </c>
    </row>
    <row r="58" spans="2:6" x14ac:dyDescent="0.2">
      <c r="B58" s="6">
        <v>56</v>
      </c>
      <c r="C58" s="6" t="s">
        <v>115</v>
      </c>
      <c r="D58" s="6" t="s">
        <v>58</v>
      </c>
      <c r="E58" s="6" t="s">
        <v>62</v>
      </c>
      <c r="F58" s="1" t="s">
        <v>6</v>
      </c>
    </row>
    <row r="59" spans="2:6" x14ac:dyDescent="0.2">
      <c r="B59" s="6">
        <v>57</v>
      </c>
      <c r="C59" s="6" t="s">
        <v>116</v>
      </c>
      <c r="D59" s="6" t="s">
        <v>58</v>
      </c>
      <c r="E59" s="6" t="s">
        <v>62</v>
      </c>
      <c r="F59" s="1" t="s">
        <v>6</v>
      </c>
    </row>
    <row r="60" spans="2:6" x14ac:dyDescent="0.2">
      <c r="B60" s="6">
        <v>58</v>
      </c>
      <c r="C60" s="6" t="s">
        <v>117</v>
      </c>
      <c r="D60" s="6" t="s">
        <v>58</v>
      </c>
      <c r="E60" s="6" t="s">
        <v>62</v>
      </c>
      <c r="F60" s="1" t="s">
        <v>6</v>
      </c>
    </row>
    <row r="61" spans="2:6" x14ac:dyDescent="0.2">
      <c r="B61" s="6">
        <v>59</v>
      </c>
      <c r="C61" s="6" t="s">
        <v>118</v>
      </c>
      <c r="D61" s="6" t="s">
        <v>58</v>
      </c>
      <c r="E61" s="6" t="s">
        <v>62</v>
      </c>
      <c r="F61" s="1" t="s">
        <v>6</v>
      </c>
    </row>
    <row r="62" spans="2:6" x14ac:dyDescent="0.2">
      <c r="B62" s="6">
        <v>60</v>
      </c>
      <c r="C62" s="6" t="s">
        <v>119</v>
      </c>
      <c r="D62" s="6" t="s">
        <v>58</v>
      </c>
      <c r="E62" s="6" t="s">
        <v>62</v>
      </c>
      <c r="F62" s="1" t="s">
        <v>6</v>
      </c>
    </row>
    <row r="63" spans="2:6" x14ac:dyDescent="0.2">
      <c r="B63" s="6">
        <v>61</v>
      </c>
      <c r="C63" s="6" t="s">
        <v>120</v>
      </c>
      <c r="D63" s="6" t="s">
        <v>63</v>
      </c>
      <c r="E63" s="6" t="s">
        <v>63</v>
      </c>
      <c r="F63" s="1" t="s">
        <v>6</v>
      </c>
    </row>
    <row r="64" spans="2:6" x14ac:dyDescent="0.2">
      <c r="B64" s="6">
        <v>62</v>
      </c>
      <c r="C64" s="1" t="s">
        <v>33</v>
      </c>
      <c r="D64" s="1" t="s">
        <v>33</v>
      </c>
      <c r="E64" s="1" t="s">
        <v>33</v>
      </c>
      <c r="F64" s="1" t="s">
        <v>292</v>
      </c>
    </row>
    <row r="65" spans="2:6" x14ac:dyDescent="0.2">
      <c r="B65" s="1"/>
      <c r="C65" s="1" t="s">
        <v>147</v>
      </c>
      <c r="D65" s="1" t="s">
        <v>147</v>
      </c>
      <c r="E65" s="1" t="s">
        <v>147</v>
      </c>
      <c r="F65" s="1" t="s">
        <v>147</v>
      </c>
    </row>
  </sheetData>
  <sheetProtection password="F450" sheet="1" objects="1" scenarios="1"/>
  <phoneticPr fontId="3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2.様式第1号、第11号-2(地域密着型)</vt:lpstr>
      <vt:lpstr>リスト</vt:lpstr>
      <vt:lpstr>リスト2</vt:lpstr>
      <vt:lpstr>'1.基本データ(このシートは削除しないこと！)'!Print_Area</vt:lpstr>
      <vt:lpstr>'2.様式第1号、第11号-2(地域密着型)'!Print_Area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横井 智成</cp:lastModifiedBy>
  <cp:lastPrinted>2024-04-24T04:58:48Z</cp:lastPrinted>
  <dcterms:created xsi:type="dcterms:W3CDTF">2018-06-11T09:00:18Z</dcterms:created>
  <dcterms:modified xsi:type="dcterms:W3CDTF">2025-07-29T06:40:39Z</dcterms:modified>
</cp:coreProperties>
</file>